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Jon\Desktop\Google Drive\00000 EXCEL Sheets\xFz Fd FL for noise calcs\Rev 3 for Web\"/>
    </mc:Choice>
  </mc:AlternateContent>
  <xr:revisionPtr revIDLastSave="0" documentId="13_ncr:1_{9CC22882-A157-427C-A869-C48D93E8668B}" xr6:coauthVersionLast="36" xr6:coauthVersionMax="36" xr10:uidLastSave="{00000000-0000-0000-0000-000000000000}"/>
  <bookViews>
    <workbookView xWindow="0" yWindow="0" windowWidth="17910" windowHeight="5860" xr2:uid="{E1603473-792E-415A-B771-922A0F85A4F7}"/>
  </bookViews>
  <sheets>
    <sheet name="User Interface" sheetId="1" r:id="rId1"/>
    <sheet name="Read Me" sheetId="4" r:id="rId2"/>
    <sheet name="Tables" sheetId="3" r:id="rId3"/>
  </sheets>
  <definedNames>
    <definedName name="C_d">'User Interface'!$O$10</definedName>
    <definedName name="Fd_BF">'User Interface'!$O$69</definedName>
    <definedName name="Fd_FB">'User Interface'!$O$51</definedName>
    <definedName name="Fd_GCE">'User Interface'!$O$26</definedName>
    <definedName name="Fd_GCL">'User Interface'!$O$33</definedName>
    <definedName name="Fd_GPE">'User Interface'!#REF!</definedName>
    <definedName name="Fd_GPL">'User Interface'!$O$49</definedName>
    <definedName name="Fd_RP">'User Interface'!$O$55</definedName>
    <definedName name="Fd_SEG">'User Interface'!$O$62</definedName>
    <definedName name="Flag1">'User Interface'!$D$8</definedName>
    <definedName name="Flag2">'User Interface'!$D$9</definedName>
    <definedName name="Flow_capaticy">'User Interface'!$C$12</definedName>
    <definedName name="_xlnm.Print_Area" localSheetId="0">'User Interface'!$N$80:$X$120</definedName>
    <definedName name="R_">#REF!</definedName>
    <definedName name="TABLE_BFEC">Tables!$B$31:$X$32</definedName>
    <definedName name="TABLE_FB">Tables!$B$37:$P$38</definedName>
    <definedName name="TABLE_GC">Tables!$B$8:$P$9</definedName>
    <definedName name="TABLE_GP">Tables!$B$14:$I$15</definedName>
    <definedName name="TABLE_RP">Tables!$B$19:$I$20</definedName>
    <definedName name="TABLE_SEG">Tables!$B$25:$Q$26</definedName>
    <definedName name="Valve_cap._In_Cv">'User Interface'!$O$8</definedName>
    <definedName name="Valve_size_in_Inch">'User Interface'!$O$9</definedName>
    <definedName name="xFZ_BF">'User Interface'!$O$114</definedName>
    <definedName name="xFZ_Cv_d2">'User Interface'!$O$113</definedName>
    <definedName name="xFZ_FB">'User Interface'!$O$121</definedName>
    <definedName name="xFZ_GC">'User Interface'!$O$86</definedName>
    <definedName name="xFZ_GP">'User Interface'!$O$93</definedName>
    <definedName name="xFZ_RE">'User Interface'!$O$100</definedName>
    <definedName name="xFZ_SB">'User Interface'!$O$107</definedName>
  </definedNames>
  <calcPr calcId="162913" iterate="1" iterateCount="1" calcOnSave="0"/>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O9" i="1"/>
  <c r="H38" i="1" l="1"/>
  <c r="H36" i="1"/>
  <c r="H46" i="1"/>
  <c r="I40" i="1"/>
  <c r="I44" i="1"/>
  <c r="H40" i="1"/>
  <c r="I36" i="1"/>
  <c r="I42" i="1"/>
  <c r="I38" i="1"/>
  <c r="I46" i="1"/>
  <c r="H42" i="1"/>
  <c r="H44" i="1"/>
  <c r="R8" i="1" l="1"/>
  <c r="Q8" i="1"/>
  <c r="P8" i="1"/>
  <c r="O8" i="1"/>
  <c r="B12" i="1"/>
  <c r="O11" i="1" l="1"/>
  <c r="C54" i="1"/>
  <c r="R40" i="1"/>
  <c r="F40" i="1" s="1"/>
  <c r="R46" i="1"/>
  <c r="R49" i="1" s="1"/>
  <c r="R50" i="1" s="1"/>
  <c r="R51" i="1" s="1"/>
  <c r="F46" i="1" s="1"/>
  <c r="R42" i="1"/>
  <c r="F42" i="1" s="1"/>
  <c r="R38" i="1"/>
  <c r="F38" i="1" s="1"/>
  <c r="R44" i="1"/>
  <c r="F44" i="1" s="1"/>
  <c r="R36" i="1"/>
  <c r="F36" i="1" s="1"/>
  <c r="P44" i="1"/>
  <c r="D44" i="1" s="1"/>
  <c r="P40" i="1"/>
  <c r="D40" i="1" s="1"/>
  <c r="P36" i="1"/>
  <c r="D36" i="1" s="1"/>
  <c r="P46" i="1"/>
  <c r="P49" i="1" s="1"/>
  <c r="P50" i="1" s="1"/>
  <c r="P51" i="1" s="1"/>
  <c r="D46" i="1" s="1"/>
  <c r="P38" i="1"/>
  <c r="D38" i="1" s="1"/>
  <c r="P42" i="1"/>
  <c r="D42" i="1" s="1"/>
  <c r="O40" i="1"/>
  <c r="C40" i="1" s="1"/>
  <c r="O44" i="1"/>
  <c r="C44" i="1" s="1"/>
  <c r="O36" i="1"/>
  <c r="C36" i="1" s="1"/>
  <c r="O46" i="1"/>
  <c r="O49" i="1" s="1"/>
  <c r="O50" i="1" s="1"/>
  <c r="O51" i="1" s="1"/>
  <c r="C46" i="1" s="1"/>
  <c r="O42" i="1"/>
  <c r="C42" i="1" s="1"/>
  <c r="O38" i="1"/>
  <c r="C38" i="1" s="1"/>
  <c r="Q36" i="1"/>
  <c r="E36" i="1" s="1"/>
  <c r="Q46" i="1"/>
  <c r="Q49" i="1" s="1"/>
  <c r="Q50" i="1" s="1"/>
  <c r="Q51" i="1" s="1"/>
  <c r="E46" i="1" s="1"/>
  <c r="Q42" i="1"/>
  <c r="E42" i="1" s="1"/>
  <c r="Q38" i="1"/>
  <c r="E38" i="1" s="1"/>
  <c r="Q44" i="1"/>
  <c r="E44" i="1" s="1"/>
  <c r="Q40" i="1"/>
  <c r="E40" i="1" s="1"/>
  <c r="R11" i="1"/>
  <c r="F54" i="1" s="1"/>
  <c r="Q11" i="1"/>
  <c r="E54" i="1" s="1"/>
  <c r="P11" i="1"/>
  <c r="D54" i="1" s="1"/>
  <c r="D19" i="1" l="1"/>
  <c r="F60" i="1"/>
  <c r="F19" i="1"/>
  <c r="E56" i="1"/>
  <c r="E19" i="1"/>
  <c r="C64" i="1"/>
  <c r="C19" i="1"/>
  <c r="D58" i="1"/>
  <c r="D60" i="1"/>
  <c r="F62" i="1"/>
  <c r="E62" i="1"/>
  <c r="F58" i="1"/>
  <c r="F56" i="1"/>
  <c r="F64" i="1"/>
  <c r="E64" i="1"/>
  <c r="E60" i="1"/>
  <c r="E58" i="1"/>
  <c r="D56" i="1"/>
  <c r="C60" i="1"/>
  <c r="C58" i="1"/>
  <c r="C56" i="1"/>
  <c r="C62" i="1"/>
  <c r="D62" i="1"/>
  <c r="D64" i="1"/>
  <c r="F21" i="1"/>
  <c r="F23" i="1"/>
  <c r="F25" i="1"/>
  <c r="E29" i="1"/>
  <c r="E23" i="1"/>
  <c r="E21" i="1"/>
  <c r="F27" i="1"/>
  <c r="F29" i="1"/>
  <c r="E27" i="1"/>
  <c r="E25" i="1"/>
  <c r="D21" i="1"/>
  <c r="D29" i="1"/>
  <c r="D23" i="1"/>
  <c r="D27" i="1"/>
  <c r="D25" i="1"/>
  <c r="C21" i="1"/>
  <c r="C23" i="1"/>
  <c r="C29" i="1"/>
  <c r="C27" i="1"/>
  <c r="C25" i="1"/>
</calcChain>
</file>

<file path=xl/sharedStrings.xml><?xml version="1.0" encoding="utf-8"?>
<sst xmlns="http://schemas.openxmlformats.org/spreadsheetml/2006/main" count="102" uniqueCount="71">
  <si>
    <r>
      <t>Cv/d</t>
    </r>
    <r>
      <rPr>
        <vertAlign val="superscript"/>
        <sz val="11"/>
        <color theme="1"/>
        <rFont val="Arial"/>
        <family val="2"/>
      </rPr>
      <t>2</t>
    </r>
  </si>
  <si>
    <t>Valve type</t>
  </si>
  <si>
    <t>Globe, 4 port cage</t>
  </si>
  <si>
    <t>Globe, Parabolic plug</t>
  </si>
  <si>
    <t>Rotary eccentric plug</t>
  </si>
  <si>
    <t>Segment ball</t>
  </si>
  <si>
    <t>Full ball</t>
  </si>
  <si>
    <t>Case 1</t>
  </si>
  <si>
    <t>Case 2</t>
  </si>
  <si>
    <t>Case 3</t>
  </si>
  <si>
    <t>Case 4</t>
  </si>
  <si>
    <t>======&gt;</t>
  </si>
  <si>
    <r>
      <t>Typical F</t>
    </r>
    <r>
      <rPr>
        <b/>
        <vertAlign val="subscript"/>
        <sz val="14"/>
        <rFont val="Arial"/>
        <family val="2"/>
      </rPr>
      <t>L</t>
    </r>
    <r>
      <rPr>
        <sz val="10"/>
        <rFont val="Arial"/>
        <family val="2"/>
      </rPr>
      <t xml:space="preserve"> values based on the flow capacity and valve size above</t>
    </r>
  </si>
  <si>
    <r>
      <t>Typical F</t>
    </r>
    <r>
      <rPr>
        <b/>
        <vertAlign val="subscript"/>
        <sz val="14"/>
        <rFont val="Arial"/>
        <family val="2"/>
      </rPr>
      <t>d</t>
    </r>
    <r>
      <rPr>
        <sz val="10"/>
        <rFont val="Arial"/>
        <family val="2"/>
      </rPr>
      <t xml:space="preserve"> values based on the flow capacity and valve size above</t>
    </r>
  </si>
  <si>
    <r>
      <t>Valve style modifier, F</t>
    </r>
    <r>
      <rPr>
        <vertAlign val="subscript"/>
        <sz val="10"/>
        <rFont val="Arial"/>
        <family val="2"/>
      </rPr>
      <t>d</t>
    </r>
  </si>
  <si>
    <r>
      <t>Liquid pressure recovery factor, F</t>
    </r>
    <r>
      <rPr>
        <vertAlign val="subscript"/>
        <sz val="10"/>
        <rFont val="Arial"/>
        <family val="2"/>
      </rPr>
      <t>L</t>
    </r>
  </si>
  <si>
    <r>
      <t>Typical x</t>
    </r>
    <r>
      <rPr>
        <b/>
        <vertAlign val="subscript"/>
        <sz val="14"/>
        <rFont val="Arial"/>
        <family val="2"/>
      </rPr>
      <t>Fz</t>
    </r>
    <r>
      <rPr>
        <sz val="10"/>
        <rFont val="Arial"/>
        <family val="2"/>
      </rPr>
      <t xml:space="preserve"> values based on the flow capacity and valve size above</t>
    </r>
  </si>
  <si>
    <t>Differential pressure ratio of incipient</t>
  </si>
  <si>
    <t>Flag #</t>
  </si>
  <si>
    <t>Flag Value</t>
  </si>
  <si>
    <t>Options</t>
  </si>
  <si>
    <t>Unit Selection</t>
  </si>
  <si>
    <t>Valve flow Capacity</t>
  </si>
  <si>
    <t>Valve size</t>
  </si>
  <si>
    <t>1 = Cv  2 = Kv</t>
  </si>
  <si>
    <t>Valve size in Inch</t>
  </si>
  <si>
    <t>Valve cap. In Cv</t>
  </si>
  <si>
    <t>Valve size (inch)</t>
  </si>
  <si>
    <t>TABLE_GC</t>
  </si>
  <si>
    <t>Globe, Cage</t>
  </si>
  <si>
    <t>Relative Cv</t>
  </si>
  <si>
    <t>Relatve travel</t>
  </si>
  <si>
    <t>Globe, Parabolic</t>
  </si>
  <si>
    <t>TABLE_GP</t>
  </si>
  <si>
    <t>Fd_FB</t>
  </si>
  <si>
    <t>Eccentric Rotary Plug</t>
  </si>
  <si>
    <t>TABLE_RP</t>
  </si>
  <si>
    <t>Rated Cv (100%)</t>
  </si>
  <si>
    <t>Segment</t>
  </si>
  <si>
    <t>TABLE_SEG</t>
  </si>
  <si>
    <t>TABLE_BF (150# high performance butterfly)</t>
  </si>
  <si>
    <t>Full ball (Standard port)</t>
  </si>
  <si>
    <t>Full Ball (Std. port)</t>
  </si>
  <si>
    <t>TABLE_FB</t>
  </si>
  <si>
    <r>
      <t>Tables of rated Cv vs valve size used in the F</t>
    </r>
    <r>
      <rPr>
        <b/>
        <vertAlign val="subscript"/>
        <sz val="12"/>
        <color theme="1"/>
        <rFont val="Arial"/>
        <family val="2"/>
      </rPr>
      <t>d</t>
    </r>
    <r>
      <rPr>
        <b/>
        <sz val="12"/>
        <color theme="1"/>
        <rFont val="Arial"/>
        <family val="2"/>
      </rPr>
      <t xml:space="preserve"> calculations.</t>
    </r>
  </si>
  <si>
    <r>
      <t xml:space="preserve">This sheet provides </t>
    </r>
    <r>
      <rPr>
        <b/>
        <u/>
        <sz val="11"/>
        <color theme="1"/>
        <rFont val="Arial"/>
        <family val="2"/>
      </rPr>
      <t>typical</t>
    </r>
    <r>
      <rPr>
        <b/>
        <sz val="11"/>
        <color theme="1"/>
        <rFont val="Arial"/>
        <family val="2"/>
      </rPr>
      <t xml:space="preserve"> values of Liquid pressure recovery factor, F</t>
    </r>
    <r>
      <rPr>
        <b/>
        <vertAlign val="subscript"/>
        <sz val="11"/>
        <color theme="1"/>
        <rFont val="Arial"/>
        <family val="2"/>
      </rPr>
      <t>L</t>
    </r>
    <r>
      <rPr>
        <b/>
        <sz val="11"/>
        <color theme="1"/>
        <rFont val="Arial"/>
        <family val="2"/>
      </rPr>
      <t>, Valve style modifier, F</t>
    </r>
    <r>
      <rPr>
        <b/>
        <vertAlign val="subscript"/>
        <sz val="11"/>
        <color theme="1"/>
        <rFont val="Arial"/>
        <family val="2"/>
      </rPr>
      <t>d</t>
    </r>
    <r>
      <rPr>
        <b/>
        <sz val="11"/>
        <color theme="1"/>
        <rFont val="Arial"/>
        <family val="2"/>
      </rPr>
      <t xml:space="preserve"> and Differential pressure</t>
    </r>
  </si>
  <si>
    <r>
      <t xml:space="preserve"> ratio of incipient cavitation, x</t>
    </r>
    <r>
      <rPr>
        <b/>
        <vertAlign val="subscript"/>
        <sz val="11"/>
        <color theme="1"/>
        <rFont val="Arial"/>
        <family val="2"/>
      </rPr>
      <t>Fz</t>
    </r>
    <r>
      <rPr>
        <b/>
        <sz val="11"/>
        <color theme="1"/>
        <rFont val="Arial"/>
        <family val="2"/>
      </rPr>
      <t>,</t>
    </r>
    <r>
      <rPr>
        <b/>
        <vertAlign val="subscript"/>
        <sz val="11"/>
        <color theme="1"/>
        <rFont val="Arial"/>
        <family val="2"/>
      </rPr>
      <t xml:space="preserve"> </t>
    </r>
    <r>
      <rPr>
        <b/>
        <sz val="11"/>
        <color theme="1"/>
        <rFont val="Arial"/>
        <family val="2"/>
      </rPr>
      <t xml:space="preserve">based on flow capacity and valve size for use in IEC noise calculations. These values 
</t>
    </r>
  </si>
  <si>
    <t>1 = inch, 2 = DN</t>
  </si>
  <si>
    <t>===&gt;</t>
  </si>
  <si>
    <r>
      <t>cavitation, x</t>
    </r>
    <r>
      <rPr>
        <b/>
        <vertAlign val="subscript"/>
        <sz val="11"/>
        <color theme="1"/>
        <rFont val="Arial"/>
        <family val="2"/>
      </rPr>
      <t>Fz</t>
    </r>
  </si>
  <si>
    <t>Data input</t>
  </si>
  <si>
    <t>Final results</t>
  </si>
  <si>
    <t>H.P. ButterflY Eccentric</t>
  </si>
  <si>
    <t>Globe, Parabolic plug flow to open</t>
  </si>
  <si>
    <t>Butterfly, high Perf. eccentric</t>
  </si>
  <si>
    <t>Rated (100%)</t>
  </si>
  <si>
    <t>open Cv</t>
  </si>
  <si>
    <t xml:space="preserve">Automatically filled or </t>
  </si>
  <si>
    <t>replaced by user with</t>
  </si>
  <si>
    <t>known value</t>
  </si>
  <si>
    <t>These values have been filled in from the Tables tab.</t>
  </si>
  <si>
    <t>For Full ball valve</t>
  </si>
  <si>
    <r>
      <t>F</t>
    </r>
    <r>
      <rPr>
        <b/>
        <vertAlign val="subscript"/>
        <sz val="11"/>
        <color theme="1"/>
        <rFont val="Arial"/>
        <family val="2"/>
      </rPr>
      <t xml:space="preserve">d </t>
    </r>
    <r>
      <rPr>
        <b/>
        <sz val="11"/>
        <color theme="1"/>
        <rFont val="Arial"/>
        <family val="2"/>
      </rPr>
      <t>calculation</t>
    </r>
  </si>
  <si>
    <t>Copy cells in Column I to Column H to restore automatic entry of rated Cv. Choose "Paste formulas"</t>
  </si>
  <si>
    <t>to keep green fill in Column H</t>
  </si>
  <si>
    <t>Relative Flow Coef.</t>
  </si>
  <si>
    <r>
      <t xml:space="preserve">are based on a reliable sources, but will vary from one manufacturer to another. </t>
    </r>
    <r>
      <rPr>
        <b/>
        <sz val="11"/>
        <color rgb="FFFF0000"/>
        <rFont val="Arial"/>
        <family val="2"/>
      </rPr>
      <t>For F</t>
    </r>
    <r>
      <rPr>
        <b/>
        <vertAlign val="subscript"/>
        <sz val="11"/>
        <color rgb="FFFF0000"/>
        <rFont val="Arial"/>
        <family val="2"/>
      </rPr>
      <t>d</t>
    </r>
    <r>
      <rPr>
        <b/>
        <sz val="11"/>
        <color rgb="FFFF0000"/>
        <rFont val="Arial"/>
        <family val="2"/>
      </rPr>
      <t xml:space="preserve"> calculations, automatic entry of valve </t>
    </r>
  </si>
  <si>
    <t>rated capacity is only valid for valve sizes on the "Tables" tab.</t>
  </si>
  <si>
    <t>The user can overwrite them with known values. For this calculation only capacity in Column H must by in Cv. (Kv * 1.17 = Cv)</t>
  </si>
  <si>
    <t>Calculation of</t>
  </si>
  <si>
    <r>
      <t>Callculation of Cv/d</t>
    </r>
    <r>
      <rPr>
        <b/>
        <vertAlign val="superscript"/>
        <sz val="11"/>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</si>
</sst>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
    <numFmt numFmtId="167" formatCode="00000"/>
  </numFmts>
  <fonts count="31" x14ac:knownFonts="1">
    <font>
      <sz val="11"/>
      <color theme="1"/>
      <name val="Arial"/>
      <family val="2"/>
    </font>
    <font>
      <vertAlign val="superscript"/>
      <sz val="11"/>
      <color theme="1"/>
      <name val="Arial"/>
      <family val="2"/>
    </font>
    <font>
      <sz val="11"/>
      <color theme="1"/>
      <name val="Arial"/>
      <family val="2"/>
    </font>
    <font>
      <sz val="11"/>
      <color rgb="FFFF0000"/>
      <name val="Arial"/>
      <family val="2"/>
    </font>
    <font>
      <b/>
      <sz val="11"/>
      <color theme="1"/>
      <name val="Arial"/>
      <family val="2"/>
    </font>
    <font>
      <sz val="10"/>
      <color theme="1"/>
      <name val="Arial"/>
      <family val="2"/>
    </font>
    <font>
      <sz val="8"/>
      <color theme="1"/>
      <name val="Arial"/>
      <family val="2"/>
    </font>
    <font>
      <b/>
      <sz val="14"/>
      <name val="Arial"/>
      <family val="2"/>
    </font>
    <font>
      <b/>
      <vertAlign val="subscript"/>
      <sz val="14"/>
      <name val="Arial"/>
      <family val="2"/>
    </font>
    <font>
      <sz val="10"/>
      <name val="Arial"/>
      <family val="2"/>
    </font>
    <font>
      <sz val="14"/>
      <name val="Arial"/>
      <family val="2"/>
    </font>
    <font>
      <vertAlign val="subscript"/>
      <sz val="10"/>
      <name val="Arial"/>
      <family val="2"/>
    </font>
    <font>
      <b/>
      <sz val="11"/>
      <name val="Arial"/>
      <family val="2"/>
    </font>
    <font>
      <b/>
      <sz val="10"/>
      <name val="Arial"/>
      <family val="2"/>
    </font>
    <font>
      <sz val="11"/>
      <name val="Arial"/>
      <family val="2"/>
    </font>
    <font>
      <b/>
      <sz val="10"/>
      <color theme="1"/>
      <name val="Arial"/>
      <family val="2"/>
    </font>
    <font>
      <b/>
      <vertAlign val="subscript"/>
      <sz val="11"/>
      <color theme="1"/>
      <name val="Arial"/>
      <family val="2"/>
    </font>
    <font>
      <b/>
      <sz val="12"/>
      <color theme="1"/>
      <name val="Arial"/>
      <family val="2"/>
    </font>
    <font>
      <b/>
      <vertAlign val="subscript"/>
      <sz val="12"/>
      <color theme="1"/>
      <name val="Arial"/>
      <family val="2"/>
    </font>
    <font>
      <b/>
      <u/>
      <sz val="11"/>
      <color theme="1"/>
      <name val="Arial"/>
      <family val="2"/>
    </font>
    <font>
      <b/>
      <sz val="11"/>
      <color rgb="FFFF0000"/>
      <name val="Arial"/>
      <family val="2"/>
    </font>
    <font>
      <sz val="9"/>
      <color theme="1"/>
      <name val="Arial"/>
      <family val="2"/>
    </font>
    <font>
      <sz val="8"/>
      <name val="Arial"/>
      <family val="2"/>
    </font>
    <font>
      <b/>
      <sz val="12"/>
      <color rgb="FF595959"/>
      <name val="Arial"/>
      <family val="2"/>
    </font>
    <font>
      <sz val="11"/>
      <color rgb="FF595959"/>
      <name val="Arial"/>
      <family val="2"/>
    </font>
    <font>
      <sz val="14"/>
      <color rgb="FFFF0000"/>
      <name val="Arial"/>
      <family val="2"/>
    </font>
    <font>
      <sz val="11"/>
      <color indexed="8"/>
      <name val="Arial"/>
      <family val="2"/>
    </font>
    <font>
      <b/>
      <vertAlign val="subscript"/>
      <sz val="11"/>
      <color rgb="FFFF0000"/>
      <name val="Arial"/>
      <family val="2"/>
    </font>
    <font>
      <sz val="10"/>
      <color rgb="FF000000"/>
      <name val="Arial"/>
      <family val="2"/>
    </font>
    <font>
      <sz val="10.5"/>
      <color theme="1"/>
      <name val="Arial"/>
      <family val="2"/>
    </font>
    <font>
      <b/>
      <vertAlign val="superscript"/>
      <sz val="11"/>
      <color theme="1"/>
      <name val="Arial"/>
      <family val="2"/>
    </font>
  </fonts>
  <fills count="10">
    <fill>
      <patternFill patternType="none"/>
    </fill>
    <fill>
      <patternFill patternType="gray125"/>
    </fill>
    <fill>
      <patternFill patternType="solid">
        <fgColor theme="8" tint="0.59999389629810485"/>
        <bgColor indexed="65"/>
      </patternFill>
    </fill>
    <fill>
      <patternFill patternType="solid">
        <fgColor rgb="FFFFC000"/>
        <bgColor indexed="64"/>
      </patternFill>
    </fill>
    <fill>
      <patternFill patternType="solid">
        <fgColor rgb="FFB6DDE8"/>
        <bgColor indexed="64"/>
      </patternFill>
    </fill>
    <fill>
      <patternFill patternType="solid">
        <fgColor rgb="FFFFFFFF"/>
        <bgColor indexed="64"/>
      </patternFill>
    </fill>
    <fill>
      <patternFill patternType="solid">
        <fgColor rgb="FFFFFFCC"/>
      </patternFill>
    </fill>
    <fill>
      <patternFill patternType="solid">
        <fgColor rgb="FFB7DEE8"/>
        <bgColor rgb="FFFFFFFF"/>
      </patternFill>
    </fill>
    <fill>
      <patternFill patternType="solid">
        <fgColor rgb="FFFFC000"/>
        <bgColor rgb="FF000000"/>
      </patternFill>
    </fill>
    <fill>
      <patternFill patternType="solid">
        <fgColor rgb="FF92D050"/>
        <bgColor indexed="64"/>
      </patternFill>
    </fill>
  </fills>
  <borders count="4">
    <border>
      <left/>
      <right/>
      <top/>
      <bottom/>
      <diagonal/>
    </border>
    <border>
      <left/>
      <right/>
      <top/>
      <bottom style="medium">
        <color auto="1"/>
      </bottom>
      <diagonal/>
    </border>
    <border>
      <left/>
      <right/>
      <top/>
      <bottom style="thick">
        <color auto="1"/>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2" fillId="2" borderId="0" applyNumberFormat="0" applyBorder="0" applyAlignment="0" applyProtection="0"/>
    <xf numFmtId="0" fontId="2" fillId="6" borderId="3" applyNumberFormat="0" applyFont="0" applyAlignment="0" applyProtection="0"/>
  </cellStyleXfs>
  <cellXfs count="88">
    <xf numFmtId="0" fontId="0" fillId="0" borderId="0" xfId="0"/>
    <xf numFmtId="0" fontId="6" fillId="0" borderId="0" xfId="0" applyFont="1"/>
    <xf numFmtId="164" fontId="6" fillId="0" borderId="0" xfId="0" applyNumberFormat="1" applyFont="1"/>
    <xf numFmtId="2" fontId="6" fillId="0" borderId="0" xfId="0" applyNumberFormat="1" applyFont="1"/>
    <xf numFmtId="0" fontId="9" fillId="0" borderId="0" xfId="0" applyFont="1"/>
    <xf numFmtId="0" fontId="13" fillId="0" borderId="0" xfId="0" applyFont="1"/>
    <xf numFmtId="0" fontId="12" fillId="0" borderId="1" xfId="0" applyFont="1" applyBorder="1"/>
    <xf numFmtId="0" fontId="14" fillId="0" borderId="0" xfId="0" applyFont="1"/>
    <xf numFmtId="2" fontId="14" fillId="0" borderId="0" xfId="0" applyNumberFormat="1" applyFont="1"/>
    <xf numFmtId="2" fontId="9" fillId="0" borderId="0" xfId="0" applyNumberFormat="1" applyFont="1" applyFill="1"/>
    <xf numFmtId="0" fontId="9" fillId="0" borderId="0" xfId="0" applyFont="1" applyFill="1"/>
    <xf numFmtId="2" fontId="14" fillId="0" borderId="0" xfId="0" applyNumberFormat="1" applyFont="1" applyFill="1"/>
    <xf numFmtId="2" fontId="14" fillId="3" borderId="0" xfId="0" applyNumberFormat="1" applyFont="1" applyFill="1"/>
    <xf numFmtId="0" fontId="14" fillId="0" borderId="0" xfId="0" applyFont="1" applyAlignment="1">
      <alignment wrapText="1"/>
    </xf>
    <xf numFmtId="2" fontId="14" fillId="3" borderId="0" xfId="0" applyNumberFormat="1" applyFont="1" applyFill="1" applyAlignment="1">
      <alignment vertical="center"/>
    </xf>
    <xf numFmtId="0" fontId="9" fillId="0" borderId="1" xfId="0" applyFont="1" applyBorder="1" applyAlignment="1">
      <alignment horizontal="center"/>
    </xf>
    <xf numFmtId="0" fontId="0" fillId="0" borderId="0" xfId="0" quotePrefix="1"/>
    <xf numFmtId="0" fontId="4" fillId="0" borderId="0" xfId="0" applyFont="1"/>
    <xf numFmtId="0" fontId="12" fillId="0" borderId="1" xfId="0" applyFont="1" applyBorder="1" applyAlignment="1">
      <alignment horizontal="left"/>
    </xf>
    <xf numFmtId="0" fontId="0" fillId="0" borderId="0" xfId="0" applyAlignment="1"/>
    <xf numFmtId="0" fontId="0" fillId="0" borderId="0" xfId="0" applyAlignment="1">
      <alignment vertical="top"/>
    </xf>
    <xf numFmtId="0" fontId="17" fillId="0" borderId="0" xfId="0" applyFont="1"/>
    <xf numFmtId="0" fontId="10" fillId="0" borderId="0" xfId="0" applyFont="1" applyAlignment="1"/>
    <xf numFmtId="0" fontId="12" fillId="0" borderId="0" xfId="0" applyFont="1" applyBorder="1" applyAlignment="1">
      <alignment horizontal="left"/>
    </xf>
    <xf numFmtId="0" fontId="0" fillId="0" borderId="1" xfId="0" applyBorder="1"/>
    <xf numFmtId="0" fontId="4" fillId="0" borderId="1" xfId="0" applyFont="1" applyBorder="1"/>
    <xf numFmtId="0" fontId="7" fillId="0" borderId="0" xfId="0" applyFont="1" applyAlignment="1"/>
    <xf numFmtId="0" fontId="0" fillId="4" borderId="0" xfId="0" applyFill="1" applyProtection="1">
      <protection locked="0"/>
    </xf>
    <xf numFmtId="0" fontId="0" fillId="0" borderId="0" xfId="0" applyAlignment="1">
      <alignment horizontal="center"/>
    </xf>
    <xf numFmtId="0" fontId="15" fillId="0" borderId="1" xfId="0" applyFont="1" applyBorder="1"/>
    <xf numFmtId="0" fontId="15" fillId="0" borderId="1" xfId="0" applyFont="1" applyBorder="1" applyAlignment="1">
      <alignment horizontal="right" vertical="center"/>
    </xf>
    <xf numFmtId="0" fontId="15" fillId="0" borderId="1" xfId="0" applyFont="1" applyBorder="1" applyAlignment="1">
      <alignment horizontal="center" vertical="center"/>
    </xf>
    <xf numFmtId="0" fontId="5" fillId="2" borderId="0" xfId="1" applyNumberFormat="1" applyFont="1" applyBorder="1" applyAlignment="1" applyProtection="1">
      <protection locked="0"/>
    </xf>
    <xf numFmtId="0" fontId="19" fillId="0" borderId="0" xfId="0" applyFont="1"/>
    <xf numFmtId="0" fontId="3" fillId="0" borderId="0" xfId="0" applyFont="1"/>
    <xf numFmtId="0" fontId="13" fillId="0" borderId="0" xfId="0" applyFont="1" applyBorder="1" applyAlignment="1">
      <alignment horizontal="center"/>
    </xf>
    <xf numFmtId="0" fontId="21" fillId="0" borderId="0" xfId="0" applyFont="1"/>
    <xf numFmtId="0" fontId="22" fillId="0" borderId="0" xfId="0" applyFont="1"/>
    <xf numFmtId="0" fontId="0" fillId="0" borderId="0" xfId="0" applyFont="1"/>
    <xf numFmtId="0" fontId="6" fillId="0" borderId="0" xfId="0" applyFont="1" applyFill="1"/>
    <xf numFmtId="2" fontId="0" fillId="0" borderId="0" xfId="0" applyNumberFormat="1"/>
    <xf numFmtId="0" fontId="23" fillId="0" borderId="0" xfId="0" applyFont="1" applyAlignment="1">
      <alignment horizontal="left" vertical="center" readingOrder="1"/>
    </xf>
    <xf numFmtId="0" fontId="0" fillId="0" borderId="0" xfId="0" applyFont="1" applyFill="1"/>
    <xf numFmtId="2" fontId="0" fillId="0" borderId="0" xfId="0" applyNumberFormat="1" applyFont="1"/>
    <xf numFmtId="2" fontId="24" fillId="0" borderId="0" xfId="0" applyNumberFormat="1" applyFont="1" applyAlignment="1">
      <alignment horizontal="right" vertical="center" readingOrder="1"/>
    </xf>
    <xf numFmtId="2" fontId="0" fillId="0" borderId="0" xfId="0" quotePrefix="1" applyNumberFormat="1" applyFont="1"/>
    <xf numFmtId="0" fontId="0" fillId="0" borderId="0" xfId="0" applyBorder="1"/>
    <xf numFmtId="0" fontId="4" fillId="0" borderId="0" xfId="0" applyFont="1" applyBorder="1"/>
    <xf numFmtId="0" fontId="6" fillId="0" borderId="0" xfId="0" applyFont="1" applyBorder="1"/>
    <xf numFmtId="2" fontId="14" fillId="0" borderId="0" xfId="0" applyNumberFormat="1" applyFont="1" applyAlignment="1">
      <alignment horizontal="right" vertical="center" readingOrder="1"/>
    </xf>
    <xf numFmtId="1" fontId="0" fillId="0" borderId="0" xfId="0" applyNumberFormat="1"/>
    <xf numFmtId="164" fontId="0" fillId="0" borderId="0" xfId="0" applyNumberFormat="1" applyFont="1" applyAlignment="1">
      <alignment wrapText="1"/>
    </xf>
    <xf numFmtId="0" fontId="7" fillId="0" borderId="0" xfId="0" applyFont="1" applyAlignment="1"/>
    <xf numFmtId="0" fontId="0" fillId="0" borderId="0" xfId="0" applyAlignment="1"/>
    <xf numFmtId="0" fontId="0" fillId="0" borderId="0" xfId="0" applyNumberFormat="1" applyFont="1"/>
    <xf numFmtId="0" fontId="25" fillId="0" borderId="0" xfId="0" applyFont="1" applyAlignment="1">
      <alignment horizontal="left" vertical="center" readingOrder="1"/>
    </xf>
    <xf numFmtId="165" fontId="26" fillId="5" borderId="0" xfId="0" applyNumberFormat="1" applyFont="1" applyFill="1" applyBorder="1" applyAlignment="1">
      <alignment horizontal="right" vertical="top" wrapText="1"/>
    </xf>
    <xf numFmtId="166" fontId="26" fillId="0" borderId="0" xfId="0" applyNumberFormat="1" applyFont="1" applyFill="1" applyBorder="1" applyAlignment="1">
      <alignment horizontal="right" vertical="top" wrapText="1"/>
    </xf>
    <xf numFmtId="165" fontId="26" fillId="0" borderId="0" xfId="0" applyNumberFormat="1" applyFont="1" applyFill="1" applyBorder="1" applyAlignment="1">
      <alignment horizontal="right" vertical="top" wrapText="1"/>
    </xf>
    <xf numFmtId="0" fontId="14" fillId="5" borderId="0" xfId="0" applyFont="1" applyFill="1" applyBorder="1" applyAlignment="1">
      <alignment horizontal="right" vertical="top" wrapText="1"/>
    </xf>
    <xf numFmtId="0" fontId="0" fillId="0" borderId="0" xfId="0" applyAlignment="1">
      <alignment horizontal="left"/>
    </xf>
    <xf numFmtId="0" fontId="4" fillId="0" borderId="0" xfId="0" applyFont="1" applyAlignment="1">
      <alignment horizontal="left" vertical="top"/>
    </xf>
    <xf numFmtId="0" fontId="20" fillId="0" borderId="0" xfId="0" applyFont="1"/>
    <xf numFmtId="0" fontId="15" fillId="0" borderId="2" xfId="0" applyFont="1" applyBorder="1" applyAlignment="1">
      <alignment horizontal="center"/>
    </xf>
    <xf numFmtId="0" fontId="28" fillId="7" borderId="0" xfId="1" applyNumberFormat="1" applyFont="1" applyFill="1" applyBorder="1" applyAlignment="1" applyProtection="1"/>
    <xf numFmtId="167" fontId="9" fillId="8" borderId="0" xfId="2" applyNumberFormat="1" applyFont="1" applyFill="1" applyBorder="1" applyAlignment="1" applyProtection="1"/>
    <xf numFmtId="2" fontId="14" fillId="3" borderId="0" xfId="0" applyNumberFormat="1" applyFont="1" applyFill="1" applyAlignment="1">
      <alignment horizontal="right"/>
    </xf>
    <xf numFmtId="0" fontId="29" fillId="0" borderId="0" xfId="0" quotePrefix="1" applyFont="1" applyAlignment="1">
      <alignment horizontal="left"/>
    </xf>
    <xf numFmtId="0" fontId="14" fillId="0" borderId="0" xfId="0" applyFont="1" applyFill="1"/>
    <xf numFmtId="0" fontId="13" fillId="0" borderId="0" xfId="0" applyFont="1" applyBorder="1" applyAlignment="1">
      <alignment horizontal="left"/>
    </xf>
    <xf numFmtId="0" fontId="4" fillId="0" borderId="2" xfId="0" applyFont="1" applyBorder="1"/>
    <xf numFmtId="2" fontId="0" fillId="0" borderId="0" xfId="0" applyNumberFormat="1" applyFill="1"/>
    <xf numFmtId="0" fontId="0" fillId="9" borderId="0" xfId="0" applyFill="1"/>
    <xf numFmtId="0" fontId="9" fillId="9" borderId="0" xfId="0" applyFont="1" applyFill="1"/>
    <xf numFmtId="2" fontId="20" fillId="9" borderId="0" xfId="0" applyNumberFormat="1" applyFont="1" applyFill="1"/>
    <xf numFmtId="2" fontId="0" fillId="9" borderId="0" xfId="0" applyNumberFormat="1" applyFont="1" applyFill="1"/>
    <xf numFmtId="0" fontId="9" fillId="0" borderId="0" xfId="0" applyFont="1" applyBorder="1" applyAlignment="1">
      <alignment horizontal="left"/>
    </xf>
    <xf numFmtId="0" fontId="0" fillId="0" borderId="0" xfId="0" applyNumberFormat="1" applyFill="1"/>
    <xf numFmtId="0" fontId="0" fillId="0" borderId="0" xfId="0" applyFill="1"/>
    <xf numFmtId="0" fontId="15" fillId="0" borderId="0" xfId="0" applyFont="1" applyBorder="1" applyAlignment="1">
      <alignment horizontal="center"/>
    </xf>
    <xf numFmtId="0" fontId="0" fillId="0" borderId="2" xfId="0" applyBorder="1"/>
    <xf numFmtId="0" fontId="0" fillId="9" borderId="0" xfId="0" applyNumberFormat="1" applyFill="1" applyProtection="1">
      <protection locked="0"/>
    </xf>
    <xf numFmtId="0" fontId="0" fillId="0" borderId="0" xfId="0" applyNumberFormat="1" applyProtection="1">
      <protection locked="0"/>
    </xf>
    <xf numFmtId="2" fontId="14" fillId="3" borderId="0" xfId="0" quotePrefix="1" applyNumberFormat="1" applyFont="1" applyFill="1" applyAlignment="1">
      <alignment vertical="center"/>
    </xf>
    <xf numFmtId="2" fontId="14" fillId="3" borderId="0" xfId="0" quotePrefix="1" applyNumberFormat="1" applyFont="1" applyFill="1"/>
    <xf numFmtId="0" fontId="7" fillId="0" borderId="0" xfId="0" applyFont="1" applyAlignment="1"/>
    <xf numFmtId="0" fontId="0" fillId="0" borderId="0" xfId="0" applyAlignment="1"/>
    <xf numFmtId="0" fontId="10" fillId="0" borderId="0" xfId="0" applyFont="1" applyAlignment="1"/>
  </cellXfs>
  <cellStyles count="3">
    <cellStyle name="40% - Accent5" xfId="1" builtinId="47"/>
    <cellStyle name="Normal" xfId="0" builtinId="0"/>
    <cellStyle name="Note" xfId="2" builtinId="10"/>
  </cellStyles>
  <dxfs count="0"/>
  <tableStyles count="0" defaultTableStyle="TableStyleMedium2" defaultPivotStyle="PivotStyleLight16"/>
  <colors>
    <mruColors>
      <color rgb="FF9900CC"/>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273050</xdr:colOff>
      <xdr:row>1</xdr:row>
      <xdr:rowOff>0</xdr:rowOff>
    </xdr:from>
    <xdr:to>
      <xdr:col>9</xdr:col>
      <xdr:colOff>82550</xdr:colOff>
      <xdr:row>37</xdr:row>
      <xdr:rowOff>6350</xdr:rowOff>
    </xdr:to>
    <xdr:sp macro="" textlink="">
      <xdr:nvSpPr>
        <xdr:cNvPr id="3" name="TextBox 2">
          <a:extLst>
            <a:ext uri="{FF2B5EF4-FFF2-40B4-BE49-F238E27FC236}">
              <a16:creationId xmlns:a16="http://schemas.microsoft.com/office/drawing/2014/main" id="{6C28396B-9E28-4C79-B301-12773D1D75B0}"/>
            </a:ext>
          </a:extLst>
        </xdr:cNvPr>
        <xdr:cNvSpPr txBox="1"/>
      </xdr:nvSpPr>
      <xdr:spPr>
        <a:xfrm>
          <a:off x="273050" y="177800"/>
          <a:ext cx="5753100" cy="6407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 </a:t>
          </a:r>
          <a:r>
            <a:rPr lang="en-US" sz="1400" b="1">
              <a:effectLst/>
              <a:latin typeface="Calibri" panose="020F0502020204030204" pitchFamily="34" charset="0"/>
              <a:ea typeface="Times New Roman" panose="02020603050405020304" pitchFamily="18" charset="0"/>
              <a:cs typeface="Times New Roman" panose="02020603050405020304" pitchFamily="18" charset="0"/>
            </a:rPr>
            <a:t>Excel® Worksheet for Estimating F</a:t>
          </a:r>
          <a:r>
            <a:rPr lang="en-US" sz="1400" b="1" baseline="-25000">
              <a:effectLst/>
              <a:latin typeface="Calibri" panose="020F0502020204030204" pitchFamily="34" charset="0"/>
              <a:ea typeface="Times New Roman" panose="02020603050405020304" pitchFamily="18" charset="0"/>
              <a:cs typeface="Times New Roman" panose="02020603050405020304" pitchFamily="18" charset="0"/>
            </a:rPr>
            <a:t>L</a:t>
          </a:r>
          <a:r>
            <a:rPr lang="en-US" sz="1400" b="1">
              <a:effectLst/>
              <a:latin typeface="Calibri" panose="020F0502020204030204" pitchFamily="34" charset="0"/>
              <a:ea typeface="Times New Roman" panose="02020603050405020304" pitchFamily="18" charset="0"/>
              <a:cs typeface="Times New Roman" panose="02020603050405020304" pitchFamily="18" charset="0"/>
            </a:rPr>
            <a:t>, F</a:t>
          </a:r>
          <a:r>
            <a:rPr lang="en-US" sz="1400" b="1" baseline="-25000">
              <a:effectLst/>
              <a:latin typeface="Calibri" panose="020F0502020204030204" pitchFamily="34" charset="0"/>
              <a:ea typeface="Times New Roman" panose="02020603050405020304" pitchFamily="18" charset="0"/>
              <a:cs typeface="Times New Roman" panose="02020603050405020304" pitchFamily="18" charset="0"/>
            </a:rPr>
            <a:t>d</a:t>
          </a:r>
          <a:r>
            <a:rPr lang="en-US" sz="1400" b="1">
              <a:effectLst/>
              <a:latin typeface="Calibri" panose="020F0502020204030204" pitchFamily="34" charset="0"/>
              <a:ea typeface="Times New Roman" panose="02020603050405020304" pitchFamily="18" charset="0"/>
              <a:cs typeface="Times New Roman" panose="02020603050405020304" pitchFamily="18" charset="0"/>
            </a:rPr>
            <a:t> and x</a:t>
          </a:r>
          <a:r>
            <a:rPr lang="en-US" sz="1400" b="1" baseline="-25000">
              <a:effectLst/>
              <a:latin typeface="Calibri" panose="020F0502020204030204" pitchFamily="34" charset="0"/>
              <a:ea typeface="Times New Roman" panose="02020603050405020304" pitchFamily="18" charset="0"/>
              <a:cs typeface="Times New Roman" panose="02020603050405020304" pitchFamily="18" charset="0"/>
            </a:rPr>
            <a:t>Fz</a:t>
          </a:r>
          <a:r>
            <a:rPr lang="en-US" sz="1400" b="1">
              <a:effectLst/>
              <a:latin typeface="Calibri" panose="020F0502020204030204" pitchFamily="34" charset="0"/>
              <a:ea typeface="Times New Roman" panose="02020603050405020304" pitchFamily="18" charset="0"/>
              <a:cs typeface="Times New Roman" panose="02020603050405020304" pitchFamily="18" charset="0"/>
            </a:rPr>
            <a:t> </a:t>
          </a:r>
        </a:p>
        <a:p>
          <a:pPr marL="0" marR="0" algn="ctr">
            <a:spcBef>
              <a:spcPts val="0"/>
            </a:spcBef>
            <a:spcAft>
              <a:spcPts val="0"/>
            </a:spcAft>
          </a:pPr>
          <a:r>
            <a:rPr lang="en-US" sz="1400" b="1">
              <a:effectLst/>
              <a:latin typeface="Calibri" panose="020F0502020204030204" pitchFamily="34" charset="0"/>
              <a:ea typeface="Times New Roman" panose="02020603050405020304" pitchFamily="18" charset="0"/>
              <a:cs typeface="Times New Roman" panose="02020603050405020304" pitchFamily="18" charset="0"/>
            </a:rPr>
            <a:t>for use in the IEC Noise Worksheets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endParaRPr lang="en-US" sz="1100" b="1">
            <a:effectLst/>
            <a:latin typeface="Calibri" panose="020F050202020403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About the worksheet</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spcBef>
              <a:spcPts val="0"/>
            </a:spcBef>
            <a:spcAft>
              <a:spcPts val="1000"/>
            </a:spcAft>
          </a:pPr>
          <a:r>
            <a:rPr lang="en-US" sz="1100">
              <a:solidFill>
                <a:srgbClr val="FF0000"/>
              </a:solidFill>
              <a:effectLst/>
              <a:latin typeface="Calibri" panose="020F0502020204030204" pitchFamily="34" charset="0"/>
              <a:ea typeface="Times New Roman" panose="02020603050405020304" pitchFamily="18" charset="0"/>
              <a:cs typeface="Times New Roman" panose="02020603050405020304" pitchFamily="18" charset="0"/>
            </a:rPr>
            <a:t>This worksheet is distributed at no charge on an as-is basis. The author does not assume any liability for its use.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No claim of copyright is made, as it is the author’s intention that it should be in the public domain for use by anyone who wishes to.</a:t>
          </a:r>
        </a:p>
        <a:p>
          <a:pPr marL="0" marR="0">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worksheet calculates </a:t>
          </a:r>
          <a:r>
            <a:rPr lang="en-US" sz="1100" u="sng">
              <a:effectLst/>
              <a:latin typeface="Calibri" panose="020F0502020204030204" pitchFamily="34" charset="0"/>
              <a:ea typeface="Times New Roman" panose="02020603050405020304" pitchFamily="18" charset="0"/>
              <a:cs typeface="Times New Roman" panose="02020603050405020304" pitchFamily="18" charset="0"/>
            </a:rPr>
            <a:t>typical</a:t>
          </a:r>
          <a:r>
            <a:rPr lang="en-US" sz="1100">
              <a:effectLst/>
              <a:latin typeface="Calibri" panose="020F0502020204030204" pitchFamily="34" charset="0"/>
              <a:ea typeface="Times New Roman" panose="02020603050405020304" pitchFamily="18" charset="0"/>
              <a:cs typeface="Times New Roman" panose="02020603050405020304" pitchFamily="18" charset="0"/>
            </a:rPr>
            <a:t> F</a:t>
          </a:r>
          <a:r>
            <a:rPr lang="en-US" sz="1100" baseline="-25000">
              <a:effectLst/>
              <a:latin typeface="Calibri" panose="020F0502020204030204" pitchFamily="34" charset="0"/>
              <a:ea typeface="Times New Roman" panose="02020603050405020304" pitchFamily="18" charset="0"/>
              <a:cs typeface="Times New Roman" panose="02020603050405020304" pitchFamily="18" charset="0"/>
            </a:rPr>
            <a:t>L</a:t>
          </a:r>
          <a:r>
            <a:rPr lang="en-US" sz="1100">
              <a:effectLst/>
              <a:latin typeface="Calibri" panose="020F0502020204030204" pitchFamily="34" charset="0"/>
              <a:ea typeface="Times New Roman" panose="02020603050405020304" pitchFamily="18" charset="0"/>
              <a:cs typeface="Times New Roman" panose="02020603050405020304" pitchFamily="18" charset="0"/>
            </a:rPr>
            <a:t>, F</a:t>
          </a:r>
          <a:r>
            <a:rPr lang="en-US" sz="1100" baseline="-25000">
              <a:effectLst/>
              <a:latin typeface="Calibri" panose="020F0502020204030204" pitchFamily="34" charset="0"/>
              <a:ea typeface="Times New Roman" panose="02020603050405020304" pitchFamily="18" charset="0"/>
              <a:cs typeface="Times New Roman" panose="02020603050405020304" pitchFamily="18" charset="0"/>
            </a:rPr>
            <a:t>d</a:t>
          </a:r>
          <a:r>
            <a:rPr lang="en-US" sz="1100">
              <a:effectLst/>
              <a:latin typeface="Calibri" panose="020F0502020204030204" pitchFamily="34" charset="0"/>
              <a:ea typeface="Times New Roman" panose="02020603050405020304" pitchFamily="18" charset="0"/>
              <a:cs typeface="Times New Roman" panose="02020603050405020304" pitchFamily="18" charset="0"/>
            </a:rPr>
            <a:t> and x</a:t>
          </a:r>
          <a:r>
            <a:rPr lang="en-US" sz="1100" baseline="-25000">
              <a:effectLst/>
              <a:latin typeface="Calibri" panose="020F0502020204030204" pitchFamily="34" charset="0"/>
              <a:ea typeface="Times New Roman" panose="02020603050405020304" pitchFamily="18" charset="0"/>
              <a:cs typeface="Times New Roman" panose="02020603050405020304" pitchFamily="18" charset="0"/>
            </a:rPr>
            <a:t>Fz</a:t>
          </a:r>
          <a:r>
            <a:rPr lang="en-US" sz="1100">
              <a:effectLst/>
              <a:latin typeface="Calibri" panose="020F0502020204030204" pitchFamily="34" charset="0"/>
              <a:ea typeface="Times New Roman" panose="02020603050405020304" pitchFamily="18" charset="0"/>
              <a:cs typeface="Times New Roman" panose="02020603050405020304" pitchFamily="18" charset="0"/>
            </a:rPr>
            <a:t> parameters for use in the IEC aerodynamic and hydrodynamic noise worksheets when manufacturer’s data is not available. The </a:t>
          </a:r>
          <a:r>
            <a:rPr lang="en-US" sz="1100">
              <a:solidFill>
                <a:schemeClr val="dk1"/>
              </a:solidFill>
              <a:effectLst/>
              <a:latin typeface="+mn-lt"/>
              <a:ea typeface="+mn-ea"/>
              <a:cs typeface="+mn-cs"/>
            </a:rPr>
            <a:t>F</a:t>
          </a:r>
          <a:r>
            <a:rPr lang="en-US" sz="1100" baseline="-25000">
              <a:solidFill>
                <a:schemeClr val="dk1"/>
              </a:solidFill>
              <a:effectLst/>
              <a:latin typeface="+mn-lt"/>
              <a:ea typeface="+mn-ea"/>
              <a:cs typeface="+mn-cs"/>
            </a:rPr>
            <a:t>d </a:t>
          </a:r>
          <a:r>
            <a:rPr lang="en-US" sz="1100" baseline="0">
              <a:solidFill>
                <a:schemeClr val="dk1"/>
              </a:solidFill>
              <a:effectLst/>
              <a:latin typeface="+mn-lt"/>
              <a:ea typeface="+mn-ea"/>
              <a:cs typeface="+mn-cs"/>
            </a:rPr>
            <a:t>calculation can be used in control valve sizing for non-turbulent flow.</a:t>
          </a:r>
          <a:r>
            <a:rPr lang="en-US" sz="1100" baseline="-25000">
              <a:solidFill>
                <a:schemeClr val="dk1"/>
              </a:solidFill>
              <a:effectLst/>
              <a:latin typeface="+mn-lt"/>
              <a:ea typeface="+mn-ea"/>
              <a:cs typeface="+mn-cs"/>
            </a:rPr>
            <a:t> </a:t>
          </a:r>
          <a:r>
            <a:rPr lang="en-US" sz="1100">
              <a:effectLst/>
              <a:latin typeface="Calibri" panose="020F0502020204030204" pitchFamily="34" charset="0"/>
              <a:ea typeface="Times New Roman" panose="02020603050405020304" pitchFamily="18" charset="0"/>
              <a:cs typeface="Times New Roman" panose="02020603050405020304" pitchFamily="18" charset="0"/>
            </a:rPr>
            <a:t>It is preferable to use parameters from your preferred manufacturer whenever they are available. The worksheet calculations are based on the user’s input of valve size and required valve capacity calculated by a valve sizing program or worksheet. The calculation methods for </a:t>
          </a:r>
          <a:r>
            <a:rPr lang="en-US" sz="1100">
              <a:solidFill>
                <a:schemeClr val="dk1"/>
              </a:solidFill>
              <a:effectLst/>
              <a:latin typeface="+mn-lt"/>
              <a:ea typeface="+mn-ea"/>
              <a:cs typeface="+mn-cs"/>
            </a:rPr>
            <a:t>F</a:t>
          </a:r>
          <a:r>
            <a:rPr lang="en-US" sz="1100" baseline="-25000">
              <a:solidFill>
                <a:schemeClr val="dk1"/>
              </a:solidFill>
              <a:effectLst/>
              <a:latin typeface="+mn-lt"/>
              <a:ea typeface="+mn-ea"/>
              <a:cs typeface="+mn-cs"/>
            </a:rPr>
            <a:t>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x</a:t>
          </a:r>
          <a:r>
            <a:rPr lang="en-US" sz="1100" baseline="-25000">
              <a:solidFill>
                <a:schemeClr val="dk1"/>
              </a:solidFill>
              <a:effectLst/>
              <a:latin typeface="+mn-lt"/>
              <a:ea typeface="+mn-ea"/>
              <a:cs typeface="+mn-cs"/>
            </a:rPr>
            <a:t>Fz</a:t>
          </a:r>
          <a:r>
            <a:rPr lang="en-US" sz="1100">
              <a:solidFill>
                <a:schemeClr val="dk1"/>
              </a:solidFill>
              <a:effectLst/>
              <a:latin typeface="+mn-lt"/>
              <a:ea typeface="+mn-ea"/>
              <a:cs typeface="+mn-cs"/>
            </a:rPr>
            <a:t> </a:t>
          </a:r>
          <a:r>
            <a:rPr lang="en-US" sz="1100">
              <a:effectLst/>
              <a:latin typeface="Calibri" panose="020F0502020204030204" pitchFamily="34" charset="0"/>
              <a:ea typeface="Times New Roman" panose="02020603050405020304" pitchFamily="18" charset="0"/>
              <a:cs typeface="Times New Roman" panose="02020603050405020304" pitchFamily="18" charset="0"/>
            </a:rPr>
            <a:t>are based on data from a source that the author believes to be reliable. The calculation</a:t>
          </a:r>
          <a:r>
            <a:rPr lang="en-US" sz="1100" baseline="0">
              <a:effectLst/>
              <a:latin typeface="Calibri" panose="020F0502020204030204" pitchFamily="34" charset="0"/>
              <a:ea typeface="Times New Roman" panose="02020603050405020304" pitchFamily="18" charset="0"/>
              <a:cs typeface="Times New Roman" panose="02020603050405020304" pitchFamily="18" charset="0"/>
            </a:rPr>
            <a:t> method for </a:t>
          </a:r>
          <a:r>
            <a:rPr lang="en-US" sz="1100">
              <a:solidFill>
                <a:schemeClr val="dk1"/>
              </a:solidFill>
              <a:effectLst/>
              <a:latin typeface="+mn-lt"/>
              <a:ea typeface="+mn-ea"/>
              <a:cs typeface="+mn-cs"/>
            </a:rPr>
            <a:t>F</a:t>
          </a:r>
          <a:r>
            <a:rPr lang="en-US" sz="1100" baseline="-25000">
              <a:solidFill>
                <a:schemeClr val="dk1"/>
              </a:solidFill>
              <a:effectLst/>
              <a:latin typeface="+mn-lt"/>
              <a:ea typeface="+mn-ea"/>
              <a:cs typeface="+mn-cs"/>
            </a:rPr>
            <a:t>d</a:t>
          </a:r>
          <a:r>
            <a:rPr lang="en-US" sz="1100">
              <a:solidFill>
                <a:schemeClr val="dk1"/>
              </a:solidFill>
              <a:effectLst/>
              <a:latin typeface="+mn-lt"/>
              <a:ea typeface="+mn-ea"/>
              <a:cs typeface="+mn-cs"/>
            </a:rPr>
            <a:t> is</a:t>
          </a:r>
          <a:r>
            <a:rPr lang="en-US" sz="1100" baseline="0">
              <a:solidFill>
                <a:schemeClr val="dk1"/>
              </a:solidFill>
              <a:effectLst/>
              <a:latin typeface="+mn-lt"/>
              <a:ea typeface="+mn-ea"/>
              <a:cs typeface="+mn-cs"/>
            </a:rPr>
            <a:t> based on the IEC Aerodynamic noise prediction method, IEC 60534-8-3 2010 Ed 3, Table 2, with one exception. Table 2 does not have data for full ball valves. The </a:t>
          </a:r>
          <a:r>
            <a:rPr lang="en-US" sz="1100">
              <a:solidFill>
                <a:schemeClr val="dk1"/>
              </a:solidFill>
              <a:effectLst/>
              <a:latin typeface="+mn-lt"/>
              <a:ea typeface="+mn-ea"/>
              <a:cs typeface="+mn-cs"/>
            </a:rPr>
            <a:t>F</a:t>
          </a:r>
          <a:r>
            <a:rPr lang="en-US" sz="1100" baseline="-25000">
              <a:solidFill>
                <a:schemeClr val="dk1"/>
              </a:solidFill>
              <a:effectLst/>
              <a:latin typeface="+mn-lt"/>
              <a:ea typeface="+mn-ea"/>
              <a:cs typeface="+mn-cs"/>
            </a:rPr>
            <a:t>d</a:t>
          </a:r>
          <a:r>
            <a:rPr lang="en-US" sz="1100" baseline="0">
              <a:solidFill>
                <a:schemeClr val="dk1"/>
              </a:solidFill>
              <a:effectLst/>
              <a:latin typeface="+mn-lt"/>
              <a:ea typeface="+mn-ea"/>
              <a:cs typeface="+mn-cs"/>
            </a:rPr>
            <a:t> calculation for full ball valves is based on data from a reliable source that tabulates </a:t>
          </a:r>
          <a:r>
            <a:rPr lang="en-US" sz="1100">
              <a:solidFill>
                <a:schemeClr val="dk1"/>
              </a:solidFill>
              <a:effectLst/>
              <a:latin typeface="+mn-lt"/>
              <a:ea typeface="+mn-ea"/>
              <a:cs typeface="+mn-cs"/>
            </a:rPr>
            <a:t>F</a:t>
          </a:r>
          <a:r>
            <a:rPr lang="en-US" sz="1100" baseline="-25000">
              <a:solidFill>
                <a:schemeClr val="dk1"/>
              </a:solidFill>
              <a:effectLst/>
              <a:latin typeface="+mn-lt"/>
              <a:ea typeface="+mn-ea"/>
              <a:cs typeface="+mn-cs"/>
            </a:rPr>
            <a:t>d</a:t>
          </a:r>
          <a:r>
            <a:rPr lang="en-US" sz="1100" baseline="0">
              <a:solidFill>
                <a:schemeClr val="dk1"/>
              </a:solidFill>
              <a:effectLst/>
              <a:latin typeface="+mn-lt"/>
              <a:ea typeface="+mn-ea"/>
              <a:cs typeface="+mn-cs"/>
            </a:rPr>
            <a:t> as a function of relative valve travel.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worksheet is protected to prevent accidental changes. It can be un-protected by simply clicking “Unprotect Sheet” on the review tab. No password is required. If you choose to unprotect the sheet, you do so at your own risk.</a:t>
          </a:r>
        </a:p>
        <a:p>
          <a:pPr marL="0" marR="0">
            <a:spcBef>
              <a:spcPts val="0"/>
            </a:spcBef>
            <a:spcAft>
              <a:spcPts val="1000"/>
            </a:spcAft>
          </a:pPr>
          <a:r>
            <a:rPr lang="en-US" sz="1100" b="1">
              <a:effectLst/>
              <a:latin typeface="Calibri" panose="020F0502020204030204" pitchFamily="34" charset="0"/>
              <a:ea typeface="Times New Roman" panose="02020603050405020304" pitchFamily="18" charset="0"/>
              <a:cs typeface="Times New Roman" panose="02020603050405020304" pitchFamily="18" charset="0"/>
            </a:rPr>
            <a:t>Using the worksheet</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The worksheet is originally configured for valve flow capacity to be in units of Cv and valve size to be in units of “inch.” In Cells D8 and D9 the user can change the configuration for valve capacity to be in units of Kv and valve size to be in “DN.”</a:t>
          </a:r>
        </a:p>
        <a:p>
          <a:pPr marL="0" marR="0">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To use the worksheet, enter up to four calculated required valve capacities (from a valve sizing program or worksheet) and the valve size.</a:t>
          </a:r>
        </a:p>
        <a:p>
          <a:pPr marL="0" marR="0">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Below the data entry area are the calculated typical parameters for several common control valve styles.</a:t>
          </a:r>
        </a:p>
        <a:p>
          <a:pPr marL="0" marR="0">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Calculated results only appear after valve flow capacity and size have been entered.</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CD1EA-7B1F-4ED6-B917-157E831D38C8}">
  <sheetPr>
    <pageSetUpPr fitToPage="1"/>
  </sheetPr>
  <dimension ref="A1:BH138"/>
  <sheetViews>
    <sheetView tabSelected="1" zoomScale="60" zoomScaleNormal="60" workbookViewId="0">
      <selection activeCell="C12" sqref="C12"/>
    </sheetView>
  </sheetViews>
  <sheetFormatPr defaultRowHeight="14" x14ac:dyDescent="0.3"/>
  <cols>
    <col min="2" max="2" width="29.9140625" customWidth="1"/>
    <col min="3" max="3" width="8.6640625" customWidth="1"/>
    <col min="7" max="7" width="8" customWidth="1"/>
    <col min="8" max="8" width="12.83203125" customWidth="1"/>
    <col min="9" max="9" width="8" customWidth="1"/>
    <col min="12" max="12" width="168.9140625" hidden="1" customWidth="1"/>
    <col min="13" max="13" width="5.1640625" customWidth="1"/>
    <col min="14" max="14" width="22.5" customWidth="1"/>
    <col min="15" max="18" width="8.58203125" customWidth="1"/>
    <col min="19" max="24" width="5.5" customWidth="1"/>
    <col min="26" max="26" width="22.25" customWidth="1"/>
    <col min="27" max="36" width="5.5" customWidth="1"/>
    <col min="38" max="38" width="22.25" customWidth="1"/>
    <col min="39" max="48" width="5.5" customWidth="1"/>
    <col min="50" max="50" width="22.25" customWidth="1"/>
    <col min="51" max="60" width="5.5" customWidth="1"/>
  </cols>
  <sheetData>
    <row r="1" spans="1:50" ht="17" x14ac:dyDescent="0.3">
      <c r="A1" s="61" t="s">
        <v>45</v>
      </c>
      <c r="N1" s="47"/>
      <c r="O1" s="79"/>
      <c r="P1" s="79"/>
      <c r="Q1" s="79"/>
      <c r="R1" s="79"/>
    </row>
    <row r="2" spans="1:50" ht="17" x14ac:dyDescent="0.3">
      <c r="A2" s="61" t="s">
        <v>46</v>
      </c>
      <c r="N2" s="33"/>
      <c r="O2" s="16"/>
      <c r="P2" s="16"/>
      <c r="Q2" s="16"/>
      <c r="R2" s="16"/>
    </row>
    <row r="3" spans="1:50" ht="17" x14ac:dyDescent="0.45">
      <c r="A3" s="17" t="s">
        <v>66</v>
      </c>
      <c r="Z3" s="36"/>
      <c r="AL3" s="36"/>
      <c r="AX3" s="36"/>
    </row>
    <row r="4" spans="1:50" x14ac:dyDescent="0.3">
      <c r="A4" s="62" t="s">
        <v>67</v>
      </c>
    </row>
    <row r="5" spans="1:50" x14ac:dyDescent="0.3">
      <c r="S5" s="1"/>
      <c r="T5" s="1"/>
      <c r="U5" s="1"/>
      <c r="V5" s="1"/>
      <c r="W5" s="1"/>
      <c r="X5" s="1"/>
    </row>
    <row r="6" spans="1:50" ht="14.5" customHeight="1" x14ac:dyDescent="0.3">
      <c r="S6" s="1"/>
      <c r="T6" s="1"/>
      <c r="U6" s="1"/>
      <c r="V6" s="1"/>
      <c r="W6" s="1"/>
      <c r="X6" s="1"/>
      <c r="Z6" s="20"/>
      <c r="AL6" s="20"/>
      <c r="AX6" s="20"/>
    </row>
    <row r="7" spans="1:50" ht="16.5" thickBot="1" x14ac:dyDescent="0.35">
      <c r="B7" s="29" t="s">
        <v>21</v>
      </c>
      <c r="C7" s="29" t="s">
        <v>18</v>
      </c>
      <c r="D7" s="30" t="s">
        <v>19</v>
      </c>
      <c r="E7" s="31" t="s">
        <v>20</v>
      </c>
      <c r="F7" s="24"/>
      <c r="N7" s="70" t="s">
        <v>70</v>
      </c>
      <c r="O7" s="80"/>
      <c r="P7" s="80"/>
      <c r="Q7" s="80"/>
      <c r="R7" s="80"/>
      <c r="S7" s="1"/>
      <c r="T7" s="1"/>
      <c r="U7" s="1"/>
      <c r="V7" s="1"/>
      <c r="W7" s="1"/>
      <c r="X7" s="1"/>
    </row>
    <row r="8" spans="1:50" x14ac:dyDescent="0.3">
      <c r="B8" s="7" t="s">
        <v>22</v>
      </c>
      <c r="C8" s="28">
        <v>1</v>
      </c>
      <c r="D8" s="27">
        <v>1</v>
      </c>
      <c r="E8" s="7" t="s">
        <v>24</v>
      </c>
      <c r="N8" t="s">
        <v>26</v>
      </c>
      <c r="O8">
        <f>IF(Flag1=1,C12,IF(Flag1=2,C12*1.17,"Invalid"))</f>
        <v>180</v>
      </c>
      <c r="P8">
        <f>IF(Flag1=1,D12,IF(Flag1=2,D12*1.17,"Invalid"))</f>
        <v>180</v>
      </c>
      <c r="Q8">
        <f>IF(Flag1=1,E12,IF(Flag1=2,E12*1.17,"Invalid"))</f>
        <v>180</v>
      </c>
      <c r="R8">
        <f>IF(Flag1=1,F12,IF(Flag1=2,F12*1.17,"Invalid"))</f>
        <v>180</v>
      </c>
      <c r="S8" s="2"/>
      <c r="T8" s="2"/>
      <c r="U8" s="2"/>
      <c r="V8" s="2"/>
      <c r="W8" s="2"/>
      <c r="X8" s="1"/>
    </row>
    <row r="9" spans="1:50" x14ac:dyDescent="0.3">
      <c r="B9" t="s">
        <v>23</v>
      </c>
      <c r="C9" s="28">
        <v>2</v>
      </c>
      <c r="D9" s="27">
        <v>1</v>
      </c>
      <c r="E9" t="s">
        <v>47</v>
      </c>
      <c r="N9" t="s">
        <v>25</v>
      </c>
      <c r="O9">
        <f>IF(Flag2=1,C13,IF(Flag2=2,IF(C13=80,3,C13/25)))</f>
        <v>4</v>
      </c>
      <c r="P9" s="16" t="s">
        <v>48</v>
      </c>
      <c r="Q9" s="16" t="s">
        <v>48</v>
      </c>
      <c r="R9" s="16" t="s">
        <v>48</v>
      </c>
      <c r="S9" s="2"/>
      <c r="T9" s="2"/>
      <c r="U9" s="2"/>
      <c r="V9" s="2"/>
      <c r="W9" s="2"/>
      <c r="X9" s="1"/>
    </row>
    <row r="10" spans="1:50" x14ac:dyDescent="0.3">
      <c r="N10" s="1"/>
      <c r="O10" s="1"/>
      <c r="P10" s="1"/>
      <c r="Q10" s="1"/>
      <c r="R10" s="1"/>
      <c r="S10" s="1"/>
      <c r="T10" s="1"/>
      <c r="U10" s="1"/>
      <c r="V10" s="1"/>
      <c r="W10" s="1"/>
      <c r="X10" s="1"/>
    </row>
    <row r="11" spans="1:50" ht="17" thickBot="1" x14ac:dyDescent="0.35">
      <c r="C11" s="63" t="s">
        <v>7</v>
      </c>
      <c r="D11" s="63" t="s">
        <v>8</v>
      </c>
      <c r="E11" s="63" t="s">
        <v>9</v>
      </c>
      <c r="F11" s="63" t="s">
        <v>10</v>
      </c>
      <c r="K11" s="1"/>
      <c r="L11" s="1"/>
      <c r="N11" s="20" t="s">
        <v>0</v>
      </c>
      <c r="O11" s="40">
        <f>IF(Valve_cap._In_Cv=0,1/0,Valve_cap._In_Cv/Valve_size_in_Inch^2)</f>
        <v>11.25</v>
      </c>
      <c r="P11" s="40">
        <f>IF(P8=0,1/0,P8/Valve_size_in_Inch^2)</f>
        <v>11.25</v>
      </c>
      <c r="Q11" s="40">
        <f>IF(Q8=0,1/0,Q8/Valve_size_in_Inch^2)</f>
        <v>11.25</v>
      </c>
      <c r="R11" s="40">
        <f>IF(R8=0,1/0,R8/Valve_size_in_Inch^2)</f>
        <v>11.25</v>
      </c>
    </row>
    <row r="12" spans="1:50" ht="14.5" thickTop="1" x14ac:dyDescent="0.3">
      <c r="B12" t="str">
        <f>IF(Flag1=1,"Flow capacity: Cv",IF(Flag1=2,"Flow Capacity: Kv","Invalid"))</f>
        <v>Flow capacity: Cv</v>
      </c>
      <c r="C12" s="32">
        <v>180</v>
      </c>
      <c r="D12" s="32">
        <v>180</v>
      </c>
      <c r="E12" s="32">
        <v>180</v>
      </c>
      <c r="F12" s="32">
        <v>180</v>
      </c>
      <c r="H12" s="64" t="s">
        <v>50</v>
      </c>
    </row>
    <row r="13" spans="1:50" x14ac:dyDescent="0.3">
      <c r="B13" t="str">
        <f>IF(Flag2=1,"Valve size: inch",IF(Flag2=2,"Valve size: DN","Invalid"))</f>
        <v>Valve size: inch</v>
      </c>
      <c r="C13" s="32">
        <v>4</v>
      </c>
      <c r="D13" s="16" t="s">
        <v>11</v>
      </c>
      <c r="E13" s="16" t="s">
        <v>11</v>
      </c>
      <c r="F13" s="16" t="s">
        <v>11</v>
      </c>
      <c r="G13" s="4"/>
      <c r="H13" s="65" t="s">
        <v>51</v>
      </c>
      <c r="X13" s="1"/>
    </row>
    <row r="14" spans="1:50" x14ac:dyDescent="0.3">
      <c r="B14" s="4"/>
      <c r="C14" s="4"/>
      <c r="D14" s="4"/>
      <c r="E14" s="4"/>
      <c r="F14" s="4"/>
      <c r="G14" s="4"/>
      <c r="H14" s="75" t="s">
        <v>57</v>
      </c>
      <c r="I14" s="72"/>
      <c r="O14" s="40"/>
      <c r="X14" s="1"/>
    </row>
    <row r="15" spans="1:50" ht="20" x14ac:dyDescent="0.5">
      <c r="A15" s="85" t="s">
        <v>12</v>
      </c>
      <c r="B15" s="86"/>
      <c r="C15" s="86"/>
      <c r="D15" s="86"/>
      <c r="E15" s="86"/>
      <c r="F15" s="86"/>
      <c r="G15" s="4"/>
      <c r="H15" s="73" t="s">
        <v>58</v>
      </c>
      <c r="I15" s="72"/>
      <c r="L15" s="34"/>
      <c r="X15" s="1"/>
    </row>
    <row r="16" spans="1:50" ht="14" customHeight="1" x14ac:dyDescent="0.35">
      <c r="A16" s="87"/>
      <c r="B16" s="86"/>
      <c r="C16" s="86"/>
      <c r="D16" s="86"/>
      <c r="E16" s="86"/>
      <c r="F16" s="86"/>
      <c r="G16" s="4"/>
      <c r="H16" s="73" t="s">
        <v>59</v>
      </c>
      <c r="I16" s="74"/>
      <c r="L16" s="34"/>
      <c r="X16" s="1"/>
    </row>
    <row r="17" spans="1:60" ht="16" thickBot="1" x14ac:dyDescent="0.45">
      <c r="A17" s="4"/>
      <c r="B17" s="6" t="s">
        <v>1</v>
      </c>
      <c r="C17" s="18" t="s">
        <v>15</v>
      </c>
      <c r="D17" s="15"/>
      <c r="E17" s="15"/>
      <c r="F17" s="15"/>
      <c r="G17" s="4"/>
      <c r="H17" s="35"/>
      <c r="I17" s="71"/>
      <c r="J17" s="1"/>
      <c r="X17" s="1"/>
    </row>
    <row r="18" spans="1:60" x14ac:dyDescent="0.3">
      <c r="A18" s="4"/>
      <c r="B18" s="4"/>
      <c r="C18" s="4"/>
      <c r="D18" s="4"/>
      <c r="E18" s="4"/>
      <c r="F18" s="4"/>
      <c r="G18" s="4"/>
      <c r="H18" s="4"/>
      <c r="I18" s="4"/>
      <c r="X18" s="1"/>
    </row>
    <row r="19" spans="1:60" x14ac:dyDescent="0.3">
      <c r="A19" s="4"/>
      <c r="B19" s="7" t="s">
        <v>2</v>
      </c>
      <c r="C19" s="14">
        <f>IFERROR(IF(O$11&lt;=0.047,0.82,IF(O$11&gt;17.75,0.812,IF(O$11&lt;5.767,0.00000792*O$11^3-0.00244111*O$11^2+0.01778061*O$11+0.81786637,-0.00242*O$11+0.854957))),"")</f>
        <v>0.82773199999999991</v>
      </c>
      <c r="D19" s="14">
        <f t="shared" ref="D19:F19" si="0">IFERROR(IF(P$11&lt;=0.047,0.82,IF(P$11&gt;17.75,0.812,IF(P$11&lt;5.767,0.00000792*P$11^3-0.00244111*P$11^2+0.01778061*P$11+0.81786637,-0.00242*P$11+0.854957))),"")</f>
        <v>0.82773199999999991</v>
      </c>
      <c r="E19" s="14">
        <f t="shared" si="0"/>
        <v>0.82773199999999991</v>
      </c>
      <c r="F19" s="14">
        <f t="shared" si="0"/>
        <v>0.82773199999999991</v>
      </c>
      <c r="G19" s="4"/>
      <c r="H19" s="8"/>
    </row>
    <row r="20" spans="1:60" x14ac:dyDescent="0.3">
      <c r="A20" s="4"/>
      <c r="B20" s="7"/>
      <c r="C20" s="9"/>
      <c r="D20" s="10"/>
      <c r="E20" s="11"/>
      <c r="F20" s="10"/>
      <c r="G20" s="4"/>
      <c r="H20" s="8"/>
      <c r="I20" s="8"/>
      <c r="O20" s="1"/>
    </row>
    <row r="21" spans="1:60" x14ac:dyDescent="0.3">
      <c r="A21" s="4"/>
      <c r="B21" s="7" t="s">
        <v>3</v>
      </c>
      <c r="C21" s="12">
        <f>IFERROR(IF(O$11&lt;0.256,0.94,IF(O$11&lt;5.158,-0.0002321*O$11^4+0.002155*O$11^3-0.004036*O$11^2-0.01878*O$11+0.9427,IF(O$11&lt;26.8,-0.00462*O$11+0.8938,0.77))),"")</f>
        <v>0.84182500000000005</v>
      </c>
      <c r="D21" s="12">
        <f>IFERROR(IF(P$11&lt;0.256,0.94,IF(P$11&lt;5.158,-0.0002321*P$11^4+0.002155*P$11^3-0.004036*P$11^2-0.01878*P$11+0.9427,IF(P$11&lt;26.8,-0.00462*P$11+0.8938,0.77))),"")</f>
        <v>0.84182500000000005</v>
      </c>
      <c r="E21" s="12">
        <f>IFERROR(IF(Q$11&lt;0.256,0.94,IF(Q$11&lt;5.158,-0.0002321*Q$11^4+0.002155*Q$11^3-0.004036*Q$11^2-0.01878*Q$11+0.9427,IF(Q$11&lt;26.8,-0.00462*Q$11+0.8938,0.77))),"")</f>
        <v>0.84182500000000005</v>
      </c>
      <c r="F21" s="12">
        <f>IFERROR(IF(R$11&lt;0.256,0.94,IF(R$11&lt;5.158,-0.0002321*R$11^4+0.002155*R$11^3-0.004036*R$11^2-0.01878*R$11+0.9427,IF(R$11&lt;26.8,-0.00462*R$11+0.8938,0.77))),"")</f>
        <v>0.84182500000000005</v>
      </c>
      <c r="G21" s="4"/>
      <c r="H21" s="8"/>
      <c r="I21" s="8"/>
      <c r="O21" s="42"/>
      <c r="X21" s="1"/>
    </row>
    <row r="22" spans="1:60" ht="15.5" x14ac:dyDescent="0.3">
      <c r="A22" s="4"/>
      <c r="B22" s="7"/>
      <c r="C22" s="9"/>
      <c r="D22" s="10"/>
      <c r="E22" s="11"/>
      <c r="F22" s="10"/>
      <c r="G22" s="4"/>
      <c r="H22" s="8"/>
      <c r="I22" s="8"/>
      <c r="J22" s="41"/>
      <c r="N22" s="38"/>
      <c r="O22" s="38"/>
    </row>
    <row r="23" spans="1:60" x14ac:dyDescent="0.3">
      <c r="A23" s="4"/>
      <c r="B23" s="7" t="s">
        <v>4</v>
      </c>
      <c r="C23" s="12">
        <f>IFERROR(IF(O$11&lt;=1.12,0.91,IF(O$11&gt;15,0.76,0.93605-0.023997*O$11+0.0012877*O$11^2-0.000031471*O$11^3)),"")</f>
        <v>0.78424898632812501</v>
      </c>
      <c r="D23" s="12">
        <f>IFERROR(IF(P$11&lt;=1.12,0.91,IF(P$11&gt;15,0.76,0.93605-0.023997*P$11+0.0012877*P$11^2-0.000031471*P$11^3)),"")</f>
        <v>0.78424898632812501</v>
      </c>
      <c r="E23" s="12">
        <f>IFERROR(IF(Q$11&lt;=1.12,0.91,IF(Q$11&gt;15,0.76,0.93605-0.023997*Q$11+0.0012877*Q$11^2-0.000031471*Q$11^3)),"")</f>
        <v>0.78424898632812501</v>
      </c>
      <c r="F23" s="12">
        <f>IFERROR(IF(R$11&lt;=1.12,0.91,IF(R$11&gt;15,0.76,0.93605-0.023997*R$11+0.0012877*R$11^2-0.000031471*R$11^3)),"")</f>
        <v>0.78424898632812501</v>
      </c>
      <c r="G23" s="4"/>
      <c r="H23" s="8"/>
      <c r="I23" s="8"/>
      <c r="N23" s="38"/>
      <c r="O23" s="38"/>
      <c r="P23" s="38"/>
      <c r="Q23" s="38"/>
      <c r="R23" s="38"/>
    </row>
    <row r="24" spans="1:60" x14ac:dyDescent="0.3">
      <c r="A24" s="4"/>
      <c r="B24" s="7"/>
      <c r="C24" s="9"/>
      <c r="D24" s="10"/>
      <c r="E24" s="11"/>
      <c r="F24" s="10"/>
      <c r="G24" s="4"/>
      <c r="H24" s="8"/>
      <c r="I24" s="8"/>
      <c r="N24" s="38"/>
      <c r="O24" s="43"/>
      <c r="P24" s="43"/>
      <c r="Q24" s="43"/>
      <c r="R24" s="43"/>
      <c r="X24" s="1"/>
    </row>
    <row r="25" spans="1:60" x14ac:dyDescent="0.3">
      <c r="A25" s="4"/>
      <c r="B25" s="13" t="s">
        <v>5</v>
      </c>
      <c r="C25" s="66">
        <f>IFERROR(IF(O$11&lt;0.59,0.94,IF(O$11&gt;48.9,0.42,-0.0107*O$11+0.94)),"")</f>
        <v>0.81962499999999994</v>
      </c>
      <c r="D25" s="12">
        <f>IFERROR(IF(P$11&lt;0.59,0.94,IF(P$11&gt;48.9,0.42,-0.0107*P$11+0.94)),"")</f>
        <v>0.81962499999999994</v>
      </c>
      <c r="E25" s="12">
        <f>IFERROR(IF(Q$11&lt;0.59,0.94,IF(Q$11&gt;48.9,0.42,-0.0107*Q$11+0.94)),"")</f>
        <v>0.81962499999999994</v>
      </c>
      <c r="F25" s="12">
        <f>IFERROR(IF(R$11&lt;0.59,0.94,IF(R$11&gt;48.9,0.42,-0.0107*R$11+0.94)),"")</f>
        <v>0.81962499999999994</v>
      </c>
      <c r="G25" s="4"/>
      <c r="H25" s="8"/>
      <c r="I25" s="8"/>
      <c r="N25" s="38"/>
      <c r="O25" s="45"/>
      <c r="P25" s="45"/>
      <c r="Q25" s="45"/>
      <c r="R25" s="45"/>
      <c r="S25" s="47"/>
      <c r="T25" s="46"/>
      <c r="U25" s="46"/>
      <c r="V25" s="46"/>
      <c r="W25" s="46"/>
      <c r="X25" s="48"/>
      <c r="Y25" s="46"/>
      <c r="Z25" s="46"/>
      <c r="AA25" s="46"/>
      <c r="AB25" s="46"/>
      <c r="AC25" s="46"/>
      <c r="AD25" s="46"/>
      <c r="AE25" s="47"/>
      <c r="AF25" s="46"/>
      <c r="AG25" s="46"/>
      <c r="AH25" s="46"/>
      <c r="AI25" s="46"/>
      <c r="AJ25" s="48"/>
      <c r="AK25" s="46"/>
      <c r="AL25" s="46"/>
      <c r="AM25" s="46"/>
      <c r="AN25" s="46"/>
      <c r="AO25" s="46"/>
      <c r="AP25" s="46"/>
      <c r="AQ25" s="47"/>
      <c r="AR25" s="46"/>
      <c r="AS25" s="46"/>
      <c r="AT25" s="46"/>
      <c r="AU25" s="46"/>
      <c r="AV25" s="48"/>
      <c r="AY25" s="46"/>
      <c r="AZ25" s="46"/>
      <c r="BA25" s="46"/>
      <c r="BB25" s="46"/>
      <c r="BC25" s="47"/>
      <c r="BD25" s="46"/>
      <c r="BE25" s="46"/>
      <c r="BF25" s="46"/>
      <c r="BG25" s="46"/>
      <c r="BH25" s="48"/>
    </row>
    <row r="26" spans="1:60" x14ac:dyDescent="0.3">
      <c r="A26" s="4"/>
      <c r="B26" s="7"/>
      <c r="C26" s="9"/>
      <c r="D26" s="10"/>
      <c r="E26" s="11"/>
      <c r="F26" s="10"/>
      <c r="G26" s="4"/>
      <c r="H26" s="8"/>
      <c r="I26" s="8"/>
      <c r="N26" s="38"/>
      <c r="O26" s="44"/>
      <c r="P26" s="44"/>
      <c r="Q26" s="44"/>
      <c r="R26" s="44"/>
    </row>
    <row r="27" spans="1:60" x14ac:dyDescent="0.3">
      <c r="A27" s="4"/>
      <c r="B27" s="7" t="s">
        <v>54</v>
      </c>
      <c r="C27" s="14">
        <f>IFERROR(IF(O$11&lt;0.91,0.87,IF(O$11&gt;47.01,0.4,0.00001*O$11^2-0.0105*O$11+0.873)),"")</f>
        <v>0.75614062500000001</v>
      </c>
      <c r="D27" s="14">
        <f>IFERROR(IF(P$11&lt;0.91,0.87,IF(P$11&gt;47.01,0.4,0.00001*P$11^2-0.0105*P$11+0.873)),"")</f>
        <v>0.75614062500000001</v>
      </c>
      <c r="E27" s="14">
        <f>IFERROR(IF(Q$11&lt;0.91,0.87,IF(Q$11&gt;47.01,0.4,0.00001*Q$11^2-0.0105*Q$11+0.873)),"")</f>
        <v>0.75614062500000001</v>
      </c>
      <c r="F27" s="14">
        <f>IFERROR(IF(R$11&lt;0.91,0.87,IF(R$11&gt;47.01,0.4,0.00001*R$11^2-0.0105*R$11+0.873)),"")</f>
        <v>0.75614062500000001</v>
      </c>
      <c r="G27" s="4"/>
      <c r="H27" s="8"/>
      <c r="I27" s="8"/>
      <c r="P27" s="1"/>
      <c r="Q27" s="1"/>
      <c r="R27" s="1"/>
      <c r="S27" s="1"/>
      <c r="T27" s="1"/>
      <c r="U27" s="1"/>
      <c r="V27" s="1"/>
      <c r="W27" s="1"/>
      <c r="X27" s="1"/>
    </row>
    <row r="28" spans="1:60" x14ac:dyDescent="0.3">
      <c r="A28" s="4"/>
      <c r="B28" s="7"/>
      <c r="C28" s="9"/>
      <c r="D28" s="10"/>
      <c r="E28" s="11"/>
      <c r="F28" s="10"/>
      <c r="G28" s="4"/>
      <c r="H28" s="8"/>
      <c r="I28" s="8"/>
      <c r="N28" s="38"/>
      <c r="P28" s="39"/>
      <c r="Q28" s="39"/>
      <c r="R28" s="39"/>
      <c r="S28" s="39"/>
      <c r="T28" s="39"/>
      <c r="U28" s="39"/>
      <c r="V28" s="39"/>
      <c r="W28" s="39"/>
      <c r="X28" s="39"/>
    </row>
    <row r="29" spans="1:60" x14ac:dyDescent="0.3">
      <c r="A29" s="4"/>
      <c r="B29" s="7" t="s">
        <v>6</v>
      </c>
      <c r="C29" s="12">
        <f>IFERROR(IF(O$11&lt;0.73,0.91,IF(O$11&gt;156,0.27,IF(O$11&lt;=66.67,0.9115*EXP(-0.009*O$11),-0.0025*O$11+0.6642))),"")</f>
        <v>0.82372900148141814</v>
      </c>
      <c r="D29" s="12">
        <f>IFERROR(IF(P$11&lt;0.73,0.91,IF(P$11&gt;156,0.27,IF(P$11&lt;=66.67,0.9115*EXP(-0.009*P$11),-0.0025*P$11+0.6642))),"")</f>
        <v>0.82372900148141814</v>
      </c>
      <c r="E29" s="12">
        <f>IFERROR(IF(Q$11&lt;0.73,0.91,IF(Q$11&gt;156,0.27,IF(Q$11&lt;=66.67,0.9115*EXP(-0.009*Q$11),-0.0025*Q$11+0.6642))),"")</f>
        <v>0.82372900148141814</v>
      </c>
      <c r="F29" s="12">
        <f>IFERROR(IF(R$11&lt;0.73,0.91,IF(R$11&gt;156,0.27,IF(R$11&lt;=66.67,0.9115*EXP(-0.009*R$11),-0.0025*R$11+0.6642))),"")</f>
        <v>0.82372900148141814</v>
      </c>
      <c r="G29" s="4"/>
      <c r="H29" s="8"/>
      <c r="I29" s="8"/>
      <c r="N29" s="38"/>
      <c r="P29" s="1"/>
      <c r="Q29" s="1"/>
      <c r="R29" s="1"/>
      <c r="S29" s="1"/>
      <c r="T29" s="1"/>
      <c r="U29" s="1"/>
      <c r="V29" s="1"/>
      <c r="W29" s="1"/>
      <c r="X29" s="1"/>
      <c r="Y29" s="38"/>
    </row>
    <row r="30" spans="1:60" ht="14.5" customHeight="1" x14ac:dyDescent="0.3">
      <c r="N30" s="38"/>
      <c r="O30" s="38"/>
      <c r="P30" s="38"/>
      <c r="Q30" s="38"/>
      <c r="R30" s="38"/>
      <c r="S30" s="1"/>
      <c r="T30" s="1"/>
      <c r="U30" s="1"/>
      <c r="V30" s="1"/>
      <c r="W30" s="1"/>
      <c r="X30" s="1"/>
    </row>
    <row r="31" spans="1:60" x14ac:dyDescent="0.3">
      <c r="N31" s="38"/>
      <c r="O31" s="43"/>
      <c r="P31" s="43"/>
      <c r="Q31" s="43"/>
      <c r="R31" s="43"/>
      <c r="S31" s="2"/>
      <c r="T31" s="2"/>
      <c r="U31" s="2"/>
      <c r="V31" s="2"/>
      <c r="W31" s="2"/>
    </row>
    <row r="32" spans="1:60" ht="20" x14ac:dyDescent="0.5">
      <c r="A32" s="26" t="s">
        <v>13</v>
      </c>
      <c r="B32" s="19"/>
      <c r="C32" s="53"/>
      <c r="D32" s="53"/>
      <c r="E32" s="53"/>
      <c r="F32" s="53"/>
      <c r="N32" s="38"/>
      <c r="O32" s="44"/>
      <c r="P32" s="44"/>
      <c r="Q32" s="44"/>
      <c r="R32" s="44"/>
      <c r="S32" s="2"/>
      <c r="T32" s="2"/>
      <c r="U32" s="2"/>
      <c r="V32" s="2"/>
      <c r="W32" s="2"/>
    </row>
    <row r="33" spans="1:24" ht="17.5" x14ac:dyDescent="0.35">
      <c r="A33" s="22"/>
      <c r="B33" s="19"/>
      <c r="C33" s="53"/>
      <c r="D33" s="53"/>
      <c r="E33" s="53"/>
      <c r="F33" s="53"/>
      <c r="H33" s="69" t="s">
        <v>55</v>
      </c>
      <c r="I33" s="4" t="s">
        <v>60</v>
      </c>
      <c r="N33" s="17" t="s">
        <v>69</v>
      </c>
      <c r="O33" s="44"/>
      <c r="P33" s="44"/>
      <c r="Q33" s="44"/>
      <c r="R33" s="44"/>
      <c r="S33" s="1"/>
      <c r="T33" s="1"/>
      <c r="U33" s="1"/>
      <c r="V33" s="1"/>
      <c r="W33" s="1"/>
    </row>
    <row r="34" spans="1:24" ht="16" thickBot="1" x14ac:dyDescent="0.45">
      <c r="A34" s="4"/>
      <c r="B34" s="6" t="s">
        <v>1</v>
      </c>
      <c r="C34" s="18" t="s">
        <v>14</v>
      </c>
      <c r="D34" s="15"/>
      <c r="E34" s="15"/>
      <c r="F34" s="15"/>
      <c r="H34" s="25" t="s">
        <v>56</v>
      </c>
      <c r="I34" s="76" t="s">
        <v>68</v>
      </c>
      <c r="N34" s="70" t="s">
        <v>65</v>
      </c>
      <c r="O34" s="63" t="s">
        <v>7</v>
      </c>
      <c r="P34" s="63" t="s">
        <v>8</v>
      </c>
      <c r="Q34" s="63" t="s">
        <v>9</v>
      </c>
      <c r="R34" s="63" t="s">
        <v>10</v>
      </c>
    </row>
    <row r="35" spans="1:24" x14ac:dyDescent="0.3">
      <c r="A35" s="4"/>
      <c r="B35" s="4"/>
      <c r="C35" s="4"/>
      <c r="D35" s="4"/>
      <c r="E35" s="4"/>
      <c r="F35" s="4"/>
      <c r="N35" s="38"/>
      <c r="O35" s="38"/>
    </row>
    <row r="36" spans="1:24" x14ac:dyDescent="0.3">
      <c r="A36" s="4"/>
      <c r="B36" s="7" t="s">
        <v>2</v>
      </c>
      <c r="C36" s="83">
        <f>IF(OR(Valve_cap._In_Cv=0,Valve_size_in_Inch=0),"",IF(O36&lt;0.1,0.25,IF(O36&gt;1,0.41,9.14352*O36^5-27.95139*O36^4+32.33796*O36^3-17.4375*O36^2+4.35852*O36-0.04111)))</f>
        <v>0.38857321455718741</v>
      </c>
      <c r="D36" s="83">
        <f>IF(OR(P8=0,Valve_size_in_Inch=0),"",IF(P36&lt;0.1,0.25,IF(P36&gt;1,0.41,9.14352*P36^5-27.95139*P36^4+32.33796*P36^3-17.4375*P36^2+4.35852*P36-0.04111)))</f>
        <v>0.38857321455718741</v>
      </c>
      <c r="E36" s="83">
        <f>IF(OR(Q8=0,Valve_size_in_Inch=0),"",IF(Q36&lt;0.1,0.25,IF(Q36&gt;1,0.41,9.14352*Q36^5-27.95139*Q36^4+32.33796*Q36^3-17.4375*Q36^2+4.35852*Q36-0.04111)))</f>
        <v>0.38857321455718741</v>
      </c>
      <c r="F36" s="83">
        <f>IF(OR(R8=0,Valve_size_in_Inch=0),"",IF(R36&lt;0.1,0.25,IF(R36&gt;1,0.41,9.14352*R36^5-27.95139*R36^4+32.33796*R36^3-17.4375*R36^2+4.35852*R36-0.04111)))</f>
        <v>0.38857321455718741</v>
      </c>
      <c r="G36" s="40"/>
      <c r="H36" s="81">
        <f>HLOOKUP(Valve_size_in_Inch,TABLE_GC,2,TRUE)</f>
        <v>235</v>
      </c>
      <c r="I36" s="77">
        <f>HLOOKUP(Valve_size_in_Inch,TABLE_GC,2,TRUE)</f>
        <v>235</v>
      </c>
      <c r="J36" s="40" t="s">
        <v>63</v>
      </c>
      <c r="K36" s="40"/>
      <c r="L36" s="40"/>
      <c r="M36" s="40"/>
      <c r="N36" s="40"/>
      <c r="O36" s="40">
        <f>O$8/$H36</f>
        <v>0.76595744680851063</v>
      </c>
      <c r="P36" s="40">
        <f t="shared" ref="P36:R46" si="1">P$8/$H36</f>
        <v>0.76595744680851063</v>
      </c>
      <c r="Q36" s="40">
        <f t="shared" si="1"/>
        <v>0.76595744680851063</v>
      </c>
      <c r="R36" s="40">
        <f t="shared" si="1"/>
        <v>0.76595744680851063</v>
      </c>
      <c r="S36" s="1"/>
      <c r="T36" s="1"/>
      <c r="U36" s="1"/>
      <c r="V36" s="1"/>
      <c r="W36" s="1"/>
      <c r="X36" s="1"/>
    </row>
    <row r="37" spans="1:24" x14ac:dyDescent="0.3">
      <c r="A37" s="4"/>
      <c r="C37" s="7"/>
      <c r="D37" s="7"/>
      <c r="E37" s="7"/>
      <c r="F37" s="7"/>
      <c r="H37" s="82"/>
      <c r="I37" s="78"/>
      <c r="J37" t="s">
        <v>64</v>
      </c>
      <c r="N37" s="38"/>
      <c r="O37" s="38"/>
      <c r="P37" s="38"/>
      <c r="Q37" s="38"/>
      <c r="R37" s="38"/>
      <c r="S37" s="1"/>
      <c r="T37" s="1"/>
      <c r="U37" s="1"/>
      <c r="V37" s="1"/>
      <c r="W37" s="1"/>
      <c r="X37" s="1"/>
    </row>
    <row r="38" spans="1:24" x14ac:dyDescent="0.3">
      <c r="A38" s="4"/>
      <c r="B38" s="7" t="s">
        <v>53</v>
      </c>
      <c r="C38" s="84">
        <f>IF(OR(Valve_cap._In_Cv=0,Valve_size_in_Inch=0),"",IF(O38&lt;0.1,0.1,IF(O38&gt;1,0.46,IF(O38&lt;0.4,0.5*O38+0.05,-0.625*O38^3+1.375*O38^2-0.6*O38+0.31))))</f>
        <v>0.44423239539291443</v>
      </c>
      <c r="D38" s="84">
        <f>IF(OR(P8=0,Valve_size_in_Inch=0),"",IF(P38&lt;0.1,0.1,IF(P38&gt;1,0.46,IF(P38&lt;0.4,0.5*P38+0.05,-0.625*P38^3+1.375*P38^2-0.6*P38+0.31))))</f>
        <v>0.44423239539291443</v>
      </c>
      <c r="E38" s="84">
        <f>IF(OR(Q8=0,Valve_size_in_Inch=0),"",IF(Q38&lt;0.1,0.1,IF(Q38&gt;1,0.46,IF(Q38&lt;0.4,0.5*Q38+0.05,-0.625*Q38^3+1.375*Q38^2-0.6*Q38+0.31))))</f>
        <v>0.44423239539291443</v>
      </c>
      <c r="F38" s="84">
        <f>IF(OR(R8=0,Valve_size_in_Inch=0),"",IF(R38&lt;0.1,0.1,IF(R38&gt;1,0.46,IF(R38&lt;0.4,0.5*R38+0.05,-0.625*R38^3+1.375*R38^2-0.6*R38+0.31))))</f>
        <v>0.44423239539291443</v>
      </c>
      <c r="H38" s="81">
        <f>HLOOKUP(Valve_size_in_Inch,TABLE_GP,2,TRUE)</f>
        <v>190</v>
      </c>
      <c r="I38" s="77">
        <f>HLOOKUP(Valve_size_in_Inch,TABLE_GP,2,TRUE)</f>
        <v>190</v>
      </c>
      <c r="N38" s="38"/>
      <c r="O38" s="40">
        <f>O$8/$H38</f>
        <v>0.94736842105263153</v>
      </c>
      <c r="P38" s="40">
        <f t="shared" si="1"/>
        <v>0.94736842105263153</v>
      </c>
      <c r="Q38" s="40">
        <f t="shared" si="1"/>
        <v>0.94736842105263153</v>
      </c>
      <c r="R38" s="40">
        <f t="shared" si="1"/>
        <v>0.94736842105263153</v>
      </c>
      <c r="S38" s="2"/>
      <c r="T38" s="2"/>
      <c r="U38" s="2"/>
      <c r="V38" s="2"/>
      <c r="W38" s="2"/>
    </row>
    <row r="39" spans="1:24" x14ac:dyDescent="0.3">
      <c r="A39" s="4"/>
      <c r="C39" s="7"/>
      <c r="D39" s="7"/>
      <c r="E39" s="7"/>
      <c r="F39" s="7"/>
      <c r="H39" s="82"/>
      <c r="I39" s="77"/>
      <c r="N39" s="38"/>
      <c r="O39" s="49"/>
      <c r="P39" s="49"/>
      <c r="Q39" s="49"/>
      <c r="R39" s="49"/>
      <c r="S39" s="2"/>
      <c r="T39" s="2"/>
      <c r="U39" s="2"/>
      <c r="V39" s="2"/>
      <c r="W39" s="2"/>
    </row>
    <row r="40" spans="1:24" x14ac:dyDescent="0.3">
      <c r="A40" s="4"/>
      <c r="B40" s="7" t="s">
        <v>4</v>
      </c>
      <c r="C40" s="84">
        <f>IF(OR(Valve_cap._In_Cv=0,Valve_size_in_Inch=0),"",IF(O40&lt;0.1,0.12,IF(O40&gt;1,0.42,IF(O40&lt;0.4,0.07213*LN(O40)+0.28943,0.41667*O40^3-1*O40^2+1.08333*O40-0.08))))</f>
        <v>0.34578015624999986</v>
      </c>
      <c r="D40" s="84">
        <f>IF(OR(P8=0,Valve_size_in_Inch=0),"",IF(P40&lt;0.1,0.12,IF(P40&gt;1,0.42,IF(P40&lt;0.4,0.07213*LN(P40)+0.28943,0.41667*P40^3-1*P40^2+1.08333*P40-0.08))))</f>
        <v>0.34578015624999986</v>
      </c>
      <c r="E40" s="84">
        <f>IF(OR(Q8=0,Valve_size_in_Inch=0),"",IF(Q40&lt;0.1,0.12,IF(Q40&gt;1,0.42,IF(Q40&lt;0.4,0.07213*LN(Q40)+0.28943,0.41667*Q40^3-1*Q40^2+1.08333*Q40-0.08))))</f>
        <v>0.34578015624999986</v>
      </c>
      <c r="F40" s="84">
        <f>IF(OR(R8=0,Valve_size_in_Inch=0),"",IF(R40&lt;0.1,0.12,IF(R40&gt;1,0.42,IF(R40&lt;0.4,0.07213*LN(R40)+0.28943,0.41667*R40^3-1*R40^2+1.08333*R40-0.08))))</f>
        <v>0.34578015624999986</v>
      </c>
      <c r="H40" s="81">
        <f>HLOOKUP(Valve_size_in_Inch,TABLE_RP,2,TRUE)</f>
        <v>240</v>
      </c>
      <c r="I40" s="77">
        <f>HLOOKUP(Valve_size_in_Inch,TABLE_RP,2,TRUE)</f>
        <v>240</v>
      </c>
      <c r="N40" s="38"/>
      <c r="O40" s="40">
        <f>O$8/$H40</f>
        <v>0.75</v>
      </c>
      <c r="P40" s="40">
        <f t="shared" si="1"/>
        <v>0.75</v>
      </c>
      <c r="Q40" s="40">
        <f t="shared" si="1"/>
        <v>0.75</v>
      </c>
      <c r="R40" s="40">
        <f t="shared" si="1"/>
        <v>0.75</v>
      </c>
      <c r="S40" s="1"/>
      <c r="T40" s="1"/>
      <c r="U40" s="1"/>
      <c r="V40" s="1"/>
      <c r="W40" s="1"/>
    </row>
    <row r="41" spans="1:24" x14ac:dyDescent="0.3">
      <c r="A41" s="4"/>
      <c r="C41" s="7"/>
      <c r="D41" s="7"/>
      <c r="E41" s="7"/>
      <c r="F41" s="7"/>
      <c r="H41" s="82"/>
      <c r="I41" s="77"/>
    </row>
    <row r="42" spans="1:24" x14ac:dyDescent="0.3">
      <c r="A42" s="4"/>
      <c r="B42" s="13" t="s">
        <v>5</v>
      </c>
      <c r="C42" s="84">
        <f>IF(OR(Valve_cap._In_Cv=0,Valve_size_in_Inch=0),"",IF(O42&lt;0.1,0.6,IF(O42&gt;1,0.98,IF(O42&lt;0.2,0.5*O42+0.55,IF(O42&lt;0.6,0.25*O42+0.6,IF(O42&lt;0.8,0.15*O42+0.66,O42-0.02))))))</f>
        <v>0.67258064516129035</v>
      </c>
      <c r="D42" s="84">
        <f>IF(OR(P8=0,Valve_size_in_Inch=0),"",IF(P42&lt;0.1,0.6,IF(P42&gt;1,0.98,IF(P42&lt;0.2,0.5*P42+0.55,IF(P42&lt;0.6,0.25*P42+0.6,IF(P42&lt;0.8,0.15*P42+0.66,P42-0.02))))))</f>
        <v>0.67258064516129035</v>
      </c>
      <c r="E42" s="84">
        <f>IF(OR(Q8=0,Valve_size_in_Inch=0),"",IF(Q42&lt;0.1,0.6,IF(Q42&gt;1,0.98,IF(Q42&lt;0.2,0.5*Q42+0.55,IF(Q42&lt;0.6,0.25*Q42+0.6,IF(Q42&lt;0.8,0.15*Q42+0.66,Q42-0.02))))))</f>
        <v>0.67258064516129035</v>
      </c>
      <c r="F42" s="84">
        <f>IF(OR(R8=0,Valve_size_in_Inch=0),"",IF(R42&lt;0.1,0.6,IF(R42&gt;1,0.98,IF(R42&lt;0.2,0.5*R42+0.55,IF(R42&lt;0.6,0.25*R42+0.6,IF(R42&lt;0.8,0.15*R42+0.66,R42-0.02))))))</f>
        <v>0.67258064516129035</v>
      </c>
      <c r="H42" s="81">
        <f>HLOOKUP(Valve_size_in_Inch,TABLE_SEG,2,TRUE)</f>
        <v>620</v>
      </c>
      <c r="I42" s="77">
        <f>HLOOKUP(Valve_size_in_Inch,TABLE_SEG,2,TRUE)</f>
        <v>620</v>
      </c>
      <c r="O42" s="40">
        <f>O$8/$H42</f>
        <v>0.29032258064516131</v>
      </c>
      <c r="P42" s="40">
        <f t="shared" si="1"/>
        <v>0.29032258064516131</v>
      </c>
      <c r="Q42" s="40">
        <f t="shared" si="1"/>
        <v>0.29032258064516131</v>
      </c>
      <c r="R42" s="40">
        <f t="shared" si="1"/>
        <v>0.29032258064516131</v>
      </c>
    </row>
    <row r="43" spans="1:24" x14ac:dyDescent="0.3">
      <c r="A43" s="4"/>
      <c r="C43" s="7"/>
      <c r="D43" s="7"/>
      <c r="E43" s="7"/>
      <c r="F43" s="7"/>
      <c r="H43" s="82"/>
      <c r="I43" s="77"/>
      <c r="O43" s="40"/>
      <c r="S43" s="1"/>
      <c r="T43" s="1"/>
      <c r="U43" s="1"/>
      <c r="V43" s="1"/>
      <c r="W43" s="1"/>
      <c r="X43" s="1"/>
    </row>
    <row r="44" spans="1:24" x14ac:dyDescent="0.3">
      <c r="A44" s="4"/>
      <c r="B44" s="7" t="s">
        <v>54</v>
      </c>
      <c r="C44" s="83">
        <f>IF(OR(Valve_cap._In_Cv=0,Valve_size_in_Inch=0),"",IF(O44&lt;0.1,0.18,IF(O44&gt;1,0.7,1.45503*O44^5-4.36508*O44^4+4.94709*O44^3-2.99405*O44^2+1.61288*O44+0.04413)))</f>
        <v>0.4622882852718751</v>
      </c>
      <c r="D44" s="83">
        <f>IF(OR(P8=0,Valve_size_in_Inch=0),"",IF(P44&lt;0.1,0.18,IF(P44&gt;1,0.7,1.45503*P44^5-4.36508*P44^4+4.94709*P44^3-2.99405*P44^2+1.61288*P44+0.04413)))</f>
        <v>0.4622882852718751</v>
      </c>
      <c r="E44" s="83">
        <f>IF(OR(Q8=0,Valve_size_in_Inch=0),"",IF(Q44&lt;0.1,0.18,IF(Q44&gt;1,0.7,1.45503*Q44^5-4.36508*Q44^4+4.94709*Q44^3-2.99405*Q44^2+1.61288*Q44+0.04413)))</f>
        <v>0.4622882852718751</v>
      </c>
      <c r="F44" s="83">
        <f>IF(OR(R8=0,Valve_size_in_Inch=0),"",IF(R44&lt;0.1,0.18,IF(R44&gt;1,0.7,1.45503*R44^5-4.36508*R44^4+4.94709*R44^3-2.99405*R44^2+1.61288*R44+0.04413)))</f>
        <v>0.4622882852718751</v>
      </c>
      <c r="H44" s="81">
        <f>HLOOKUP(Valve_size_in_Inch,TABLE_BFEC,2,TRUE)</f>
        <v>400</v>
      </c>
      <c r="I44" s="77">
        <f>HLOOKUP(Valve_size_in_Inch,TABLE_BFEC,2,TRUE)</f>
        <v>400</v>
      </c>
      <c r="O44" s="40">
        <f>O$8/$H44</f>
        <v>0.45</v>
      </c>
      <c r="P44" s="40">
        <f t="shared" si="1"/>
        <v>0.45</v>
      </c>
      <c r="Q44" s="40">
        <f t="shared" si="1"/>
        <v>0.45</v>
      </c>
      <c r="R44" s="40">
        <f t="shared" si="1"/>
        <v>0.45</v>
      </c>
      <c r="S44" s="1"/>
      <c r="T44" s="1"/>
      <c r="U44" s="1"/>
      <c r="V44" s="1"/>
      <c r="W44" s="1"/>
      <c r="X44" s="1"/>
    </row>
    <row r="45" spans="1:24" x14ac:dyDescent="0.3">
      <c r="A45" s="4"/>
      <c r="B45" s="7"/>
      <c r="C45" s="9"/>
      <c r="D45" s="10"/>
      <c r="E45" s="11"/>
      <c r="F45" s="10"/>
      <c r="H45" s="82"/>
      <c r="I45" s="77"/>
      <c r="O45" s="40"/>
      <c r="S45" s="2"/>
      <c r="T45" s="2"/>
      <c r="U45" s="2"/>
      <c r="V45" s="2"/>
      <c r="W45" s="2"/>
    </row>
    <row r="46" spans="1:24" x14ac:dyDescent="0.3">
      <c r="A46" s="4"/>
      <c r="B46" s="7" t="s">
        <v>41</v>
      </c>
      <c r="C46" s="12">
        <f>IF(OR(Valve_cap._In_Cv=0,Valve_size_in_Inch=0),"",Fd_FB)</f>
        <v>0.97988631366821988</v>
      </c>
      <c r="D46" s="12">
        <f>IF(OR(P8=0,Valve_size_in_Inch=0),"",P51)</f>
        <v>0.97988631366821988</v>
      </c>
      <c r="E46" s="12">
        <f>IF(OR(Q8=0,Valve_size_in_Inch=0),"",Q51)</f>
        <v>0.97988631366821988</v>
      </c>
      <c r="F46" s="12">
        <f>IF(OR(R8=0,Valve_size_in_Inch=0),"",R51)</f>
        <v>0.97988631366821988</v>
      </c>
      <c r="H46" s="81">
        <f>HLOOKUP(Valve_size_in_Inch,TABLE_FB,2,TRUE)</f>
        <v>550</v>
      </c>
      <c r="I46" s="77">
        <f>HLOOKUP(Valve_size_in_Inch,TABLE_FB,2,TRUE)</f>
        <v>550</v>
      </c>
      <c r="N46" s="17"/>
      <c r="O46" s="40">
        <f>O$8/$H46</f>
        <v>0.32727272727272727</v>
      </c>
      <c r="P46" s="40">
        <f t="shared" si="1"/>
        <v>0.32727272727272727</v>
      </c>
      <c r="Q46" s="40">
        <f t="shared" si="1"/>
        <v>0.32727272727272727</v>
      </c>
      <c r="R46" s="40">
        <f t="shared" si="1"/>
        <v>0.32727272727272727</v>
      </c>
      <c r="S46" s="2"/>
      <c r="T46" s="2"/>
      <c r="U46" s="2"/>
      <c r="V46" s="2"/>
      <c r="W46" s="2"/>
    </row>
    <row r="47" spans="1:24" ht="17" x14ac:dyDescent="0.45">
      <c r="B47" s="7"/>
      <c r="C47" s="9"/>
      <c r="D47" s="10"/>
      <c r="E47" s="11"/>
      <c r="F47" s="10"/>
      <c r="N47" s="17" t="s">
        <v>62</v>
      </c>
      <c r="O47" s="43"/>
      <c r="P47" s="43"/>
      <c r="Q47" s="43"/>
      <c r="R47" s="43"/>
      <c r="S47" s="1"/>
      <c r="T47" s="1"/>
      <c r="U47" s="1"/>
      <c r="V47" s="1"/>
      <c r="W47" s="1"/>
    </row>
    <row r="48" spans="1:24" x14ac:dyDescent="0.3">
      <c r="N48" s="38" t="s">
        <v>61</v>
      </c>
      <c r="O48" s="54"/>
      <c r="P48" s="54"/>
      <c r="Q48" s="54"/>
      <c r="R48" s="54"/>
    </row>
    <row r="49" spans="1:24" ht="20" x14ac:dyDescent="0.5">
      <c r="A49" s="52" t="s">
        <v>16</v>
      </c>
      <c r="N49" s="38" t="s">
        <v>30</v>
      </c>
      <c r="O49" s="43">
        <f>MIN(O46,1)</f>
        <v>0.32727272727272727</v>
      </c>
      <c r="P49" s="43">
        <f t="shared" ref="P49:R49" si="2">MIN(P46,1)</f>
        <v>0.32727272727272727</v>
      </c>
      <c r="Q49" s="43">
        <f t="shared" si="2"/>
        <v>0.32727272727272727</v>
      </c>
      <c r="R49" s="43">
        <f t="shared" si="2"/>
        <v>0.32727272727272727</v>
      </c>
    </row>
    <row r="50" spans="1:24" x14ac:dyDescent="0.3">
      <c r="A50" s="4"/>
      <c r="C50" s="23" t="s">
        <v>17</v>
      </c>
      <c r="N50" s="38" t="s">
        <v>31</v>
      </c>
      <c r="O50" s="40">
        <f>IF(O49&lt;0.0741,1669.83377*O49^3-244.4753*O49^2+14.38353*O49-0.00293,-1.5235*O49^4+4.2474*O49^3-4.4962*O49^2+2.5368*O49+0.2355)</f>
        <v>0.71555696528925616</v>
      </c>
      <c r="P50" s="40">
        <f t="shared" ref="P50:R50" si="3">IF(P49&lt;0.0741,1669.83377*P49^3-244.4753*P49^2+14.38353*P49-0.00293,-1.5235*P49^4+4.2474*P49^3-4.4962*P49^2+2.5368*P49+0.2355)</f>
        <v>0.71555696528925616</v>
      </c>
      <c r="Q50" s="40">
        <f t="shared" si="3"/>
        <v>0.71555696528925616</v>
      </c>
      <c r="R50" s="40">
        <f t="shared" si="3"/>
        <v>0.71555696528925616</v>
      </c>
      <c r="S50" s="1"/>
      <c r="T50" s="1"/>
      <c r="U50" s="1"/>
      <c r="V50" s="1"/>
      <c r="W50" s="1"/>
      <c r="X50" s="1"/>
    </row>
    <row r="51" spans="1:24" ht="17.5" thickBot="1" x14ac:dyDescent="0.5">
      <c r="A51" s="4"/>
      <c r="B51" s="6" t="s">
        <v>1</v>
      </c>
      <c r="C51" s="25" t="s">
        <v>49</v>
      </c>
      <c r="D51" s="15"/>
      <c r="E51" s="15"/>
      <c r="F51" s="15"/>
      <c r="N51" s="38" t="s">
        <v>34</v>
      </c>
      <c r="O51" s="43">
        <f>IF(O50&lt;0.1,0.468,4.1186*O50^5-13.223*O50^4+16.83*O50^3-11.216*O50^2+4.3621*O50+0.1292)</f>
        <v>0.97988631366821988</v>
      </c>
      <c r="P51" s="43">
        <f t="shared" ref="P51:R51" si="4">IF(P50&lt;0.1,0.468,4.1186*P50^5-13.223*P50^4+16.83*P50^3-11.216*P50^2+4.3621*P50+0.1292)</f>
        <v>0.97988631366821988</v>
      </c>
      <c r="Q51" s="43">
        <f t="shared" si="4"/>
        <v>0.97988631366821988</v>
      </c>
      <c r="R51" s="43">
        <f t="shared" si="4"/>
        <v>0.97988631366821988</v>
      </c>
      <c r="S51" s="1"/>
      <c r="T51" s="1"/>
      <c r="U51" s="1"/>
      <c r="V51" s="1"/>
      <c r="W51" s="1"/>
      <c r="X51" s="1"/>
    </row>
    <row r="52" spans="1:24" x14ac:dyDescent="0.3">
      <c r="H52" s="5"/>
      <c r="I52" s="5"/>
      <c r="N52" s="38"/>
      <c r="O52" s="43"/>
      <c r="P52" s="43"/>
      <c r="Q52" s="43"/>
      <c r="R52" s="43"/>
      <c r="S52" s="2"/>
      <c r="T52" s="2"/>
      <c r="U52" s="2"/>
      <c r="V52" s="2"/>
      <c r="W52" s="2"/>
    </row>
    <row r="53" spans="1:24" ht="20" hidden="1" x14ac:dyDescent="0.5">
      <c r="A53" s="26" t="s">
        <v>16</v>
      </c>
      <c r="B53" s="19"/>
      <c r="C53" s="53"/>
      <c r="D53" s="53"/>
      <c r="E53" s="53"/>
      <c r="F53" s="53"/>
      <c r="H53" s="35"/>
      <c r="I53" s="35"/>
      <c r="N53" s="38"/>
      <c r="O53" s="51"/>
      <c r="P53" s="2"/>
      <c r="Q53" s="2"/>
      <c r="R53" s="2"/>
      <c r="S53" s="2"/>
      <c r="T53" s="2"/>
      <c r="U53" s="2"/>
      <c r="V53" s="2"/>
      <c r="W53" s="2"/>
    </row>
    <row r="54" spans="1:24" x14ac:dyDescent="0.3">
      <c r="B54" s="7" t="s">
        <v>2</v>
      </c>
      <c r="C54" s="84">
        <f>IF(OR(Valve_cap._In_Cv=0,Valve_size_in_Inch=0),"",IF(O11&lt;0.047,0.45,IF(O11&gt;17.75,0.2,IF(O11&lt;4.662,-0.000669*O11^3+0.016367*O11^2-0.112372*O11+0.461006,-0.002253*O11+0.239994))))</f>
        <v>0.21464775000000003</v>
      </c>
      <c r="D54" s="84">
        <f>IF(OR(Valve_cap._In_Cv=0,Valve_size_in_Inch=0),"",IF(P11&lt;0.047,0.45,IF(P11&gt;17.75,0.2,IF(P11&lt;4.662,-0.000669*P11^3+0.016367*P11^2-0.112372*P11+0.461006,-0.002253*P11+0.239994))))</f>
        <v>0.21464775000000003</v>
      </c>
      <c r="E54" s="84">
        <f>IF(OR(Valve_cap._In_Cv=0,Valve_size_in_Inch=0),"",IF(Q11&lt;0.047,0.45,IF(Q11&gt;17.75,0.2,IF(Q11&lt;4.662,-0.000669*Q11^3+0.016367*Q11^2-0.112372*Q11+0.461006,-0.002253*Q11+0.239994))))</f>
        <v>0.21464775000000003</v>
      </c>
      <c r="F54" s="84">
        <f>IF(OR(Valve_cap._In_Cv=0,Valve_size_in_Inch=0),"",IF(R11&lt;0.047,0.45,IF(R11&gt;17.75,0.2,IF(R11&lt;4.662,-0.000669*R11^3+0.016367*R11^2-0.112372*R11+0.461006,-0.002253*R11+0.239994))))</f>
        <v>0.21464775000000003</v>
      </c>
      <c r="N54" s="38"/>
      <c r="O54" s="43"/>
      <c r="P54" s="43"/>
      <c r="Q54" s="43"/>
      <c r="R54" s="43"/>
      <c r="S54" s="1"/>
      <c r="T54" s="1"/>
      <c r="U54" s="1"/>
      <c r="V54" s="1"/>
      <c r="W54" s="1"/>
    </row>
    <row r="55" spans="1:24" x14ac:dyDescent="0.3">
      <c r="N55" s="38"/>
      <c r="O55" s="8"/>
      <c r="P55" s="8"/>
      <c r="Q55" s="8"/>
      <c r="R55" s="8"/>
    </row>
    <row r="56" spans="1:24" x14ac:dyDescent="0.3">
      <c r="B56" s="7" t="s">
        <v>3</v>
      </c>
      <c r="C56" s="12">
        <f>IF(OR(Valve_cap._In_Cv=0,Valve_size_in_Inch=0),"",IF(O11&lt;1.734,0.65,IF(O11&gt;26.8,0.25,0.0000189*O11^3-0.0009618*O11^2-0.0030158*O11+0.6574704)))</f>
        <v>0.52872518906249999</v>
      </c>
      <c r="D56" s="12">
        <f>IF(OR(P8=0,Valve_size_in_Inch=0),"",IF(P11&lt;1.734,0.65,IF(P11&gt;26.8,0.25,0.0000189*P11^3-0.0009618*P11^2-0.0030158*P11+0.6574704)))</f>
        <v>0.52872518906249999</v>
      </c>
      <c r="E56" s="12">
        <f>IF(OR(Q8=0,Valve_size_in_Inch=0),"",IF(Q11&lt;1.734,0.65,IF(Q11&gt;26.8,0.25,0.0000189*Q11^3-0.0009618*Q11^2-0.0030158*Q11+0.6574704)))</f>
        <v>0.52872518906249999</v>
      </c>
      <c r="F56" s="12">
        <f>IF(OR(R8=0,Valve_size_in_Inch=0),"",IF(R11&lt;1.734,0.65,IF(R11&gt;26.8,0.25,0.0000189*R11^3-0.0009618*R11^2-0.0030158*R11+0.6574704)))</f>
        <v>0.52872518906249999</v>
      </c>
      <c r="O56" s="38"/>
    </row>
    <row r="57" spans="1:24" x14ac:dyDescent="0.3">
      <c r="B57" s="7"/>
      <c r="C57" s="11"/>
      <c r="D57" s="68"/>
      <c r="E57" s="11"/>
      <c r="F57" s="68"/>
      <c r="N57" s="38"/>
      <c r="O57" s="38"/>
      <c r="P57" s="1"/>
      <c r="Q57" s="1"/>
      <c r="R57" s="1"/>
      <c r="S57" s="1"/>
      <c r="T57" s="1"/>
      <c r="U57" s="1"/>
      <c r="V57" s="1"/>
      <c r="W57" s="1"/>
      <c r="X57" s="1"/>
    </row>
    <row r="58" spans="1:24" x14ac:dyDescent="0.3">
      <c r="B58" s="7" t="s">
        <v>4</v>
      </c>
      <c r="C58" s="12">
        <f>IF(OR(Valve_cap._In_Cv=0,Valve_size_in_Inch=0),"",IF(O11&lt;1.12,0.5,IF(O11&gt;15,0.24,0.00000193*O11^5-0.000072*O11^4+0.000633*O11^3+0.002994*O11^2-0.063719*O11+0.5707)))</f>
        <v>0.32856406372070318</v>
      </c>
      <c r="D58" s="12">
        <f>IF(OR(P8=0,Valve_size_in_Inch=0),"",IF(P11&lt;1.12,0.5,IF(P11&gt;15,0.24,0.00000193*P11^5-0.000072*P11^4+0.000633*P11^3+0.002994*P11^2-0.063719*P11+0.5707)))</f>
        <v>0.32856406372070318</v>
      </c>
      <c r="E58" s="12">
        <f>IF(OR(Q8=0,Valve_size_in_Inch=0),"",IF(Q11&lt;1.12,0.5,IF(Q11&gt;15,0.24,0.00000193*Q11^5-0.000072*Q11^4+0.000633*Q11^3+0.002994*Q11^2-0.063719*Q11+0.5707)))</f>
        <v>0.32856406372070318</v>
      </c>
      <c r="F58" s="12">
        <f>IF(OR(R8=0,Valve_size_in_Inch=0),"",IF(R11&lt;1.12,0.5,IF(R11&gt;15,0.24,0.00000193*R11^5-0.000072*R11^4+0.000633*R11^3+0.002994*R11^2-0.063719*R11+0.5707)))</f>
        <v>0.32856406372070318</v>
      </c>
      <c r="G58" s="34"/>
      <c r="N58" s="38"/>
      <c r="O58" s="38"/>
      <c r="P58" s="1"/>
      <c r="Q58" s="1"/>
      <c r="R58" s="1"/>
      <c r="S58" s="1"/>
      <c r="T58" s="1"/>
      <c r="U58" s="1"/>
      <c r="V58" s="1"/>
      <c r="W58" s="1"/>
      <c r="X58" s="1"/>
    </row>
    <row r="59" spans="1:24" x14ac:dyDescent="0.3">
      <c r="B59" s="7"/>
      <c r="C59" s="11"/>
      <c r="D59" s="68"/>
      <c r="E59" s="11"/>
      <c r="F59" s="68"/>
      <c r="N59" s="38"/>
      <c r="O59" s="54"/>
      <c r="P59" s="54"/>
      <c r="Q59" s="54"/>
      <c r="R59" s="54"/>
      <c r="S59" s="2"/>
      <c r="T59" s="2"/>
      <c r="U59" s="2"/>
      <c r="V59" s="2"/>
      <c r="W59" s="2"/>
    </row>
    <row r="60" spans="1:24" x14ac:dyDescent="0.3">
      <c r="B60" s="13" t="s">
        <v>5</v>
      </c>
      <c r="C60" s="12">
        <f>IF(OR(Valve_cap._In_Cv=0,Valve_size_in_Inch=0),"",IF(O11&lt;0.59,0.44,IF(O11&gt;48.9,0.16,IF(O11&lt;30.8,-0.00000551*O11^3+0.00045435*O11^2-0.01695687*O11+0.45273591,-0.00221*O11+0.26807))))</f>
        <v>0.31162950140625001</v>
      </c>
      <c r="D60" s="12">
        <f>IF(OR(P8=0,Valve_size_in_Inch=0),"",IF(P11&lt;0.59,0.44,IF(P11&gt;48.9,0.16,IF(P11&lt;30.8,-0.00000551*P11^3+0.00045435*P11^2-0.01695687*P11+0.45273591,-0.00221*P11+0.26807))))</f>
        <v>0.31162950140625001</v>
      </c>
      <c r="E60" s="12">
        <f>IF(OR(Q8=0,Valve_size_in_Inch=0),"",IF(Q11&lt;0.59,0.44,IF(Q11&gt;48.9,0.16,IF(Q11&lt;30.8,-0.00000551*Q11^3+0.00045435*Q11^2-0.01695687*Q11+0.45273591,-0.00221*Q11+0.26807))))</f>
        <v>0.31162950140625001</v>
      </c>
      <c r="F60" s="12">
        <f>IF(OR(R8=0,Valve_size_in_Inch=0),"",IF(R11&lt;0.59,0.44,IF(R11&gt;48.9,0.16,IF(R11&lt;30.8,-0.00000551*R11^3+0.00045435*R11^2-0.01695687*R11+0.45273591,-0.00221*R11+0.26807))))</f>
        <v>0.31162950140625001</v>
      </c>
      <c r="N60" s="38"/>
      <c r="O60" s="43"/>
      <c r="P60" s="43"/>
      <c r="Q60" s="43"/>
      <c r="R60" s="43"/>
      <c r="S60" s="2"/>
      <c r="T60" s="2"/>
      <c r="U60" s="2"/>
      <c r="V60" s="2"/>
      <c r="W60" s="2"/>
    </row>
    <row r="61" spans="1:24" x14ac:dyDescent="0.3">
      <c r="B61" s="7"/>
      <c r="C61" s="11"/>
      <c r="D61" s="68"/>
      <c r="E61" s="11"/>
      <c r="F61" s="68"/>
      <c r="N61" s="38"/>
      <c r="O61" s="40"/>
      <c r="P61" s="40"/>
      <c r="Q61" s="40"/>
      <c r="R61" s="40"/>
      <c r="S61" s="1"/>
      <c r="T61" s="1"/>
      <c r="U61" s="1"/>
      <c r="V61" s="1"/>
      <c r="W61" s="1"/>
    </row>
    <row r="62" spans="1:24" ht="17.5" x14ac:dyDescent="0.3">
      <c r="B62" s="7" t="s">
        <v>54</v>
      </c>
      <c r="C62" s="12">
        <f>IF(OR(Valve_cap._In_Cv=0,Valve_size_in_Inch=0),"",IF(O11&lt;0.91,0.38,IF(O11&gt;45,0.13,-0.0000000141*O11^5+0.0000019458*O11^4-0.0000998957*O11^3+0.0023905038*O11^2-0.0309616591*O11+0.4082791813)))</f>
        <v>0.2489014342155273</v>
      </c>
      <c r="D62" s="12">
        <f>IF(OR(P8=0,Valve_size_in_Inch=0),"",IF(P11&lt;0.91,0.38,IF(P11&gt;45,0.13,-0.0000000141*P11^5+0.0000019458*P11^4-0.0000998957*P11^3+0.0023905038*P11^2-0.0309616591*P11+0.4082791813)))</f>
        <v>0.2489014342155273</v>
      </c>
      <c r="E62" s="12">
        <f>IF(OR(Q8=0,Valve_size_in_Inch=0),"",IF(Q11&lt;0.91,0.38,IF(Q11&gt;45,0.13,-0.0000000141*Q11^5+0.0000019458*Q11^4-0.0000998957*Q11^3+0.0023905038*Q11^2-0.0309616591*Q11+0.4082791813)))</f>
        <v>0.2489014342155273</v>
      </c>
      <c r="F62" s="12">
        <f>IF(OR(R8=0,Valve_size_in_Inch=0),"",IF(R11&lt;0.91,0.38,IF(R11&gt;45,0.13,-0.0000000141*R11^5+0.0000019458*R11^4-0.0000998957*R11^3+0.0023905038*R11^2-0.0309616591*R11+0.4082791813)))</f>
        <v>0.2489014342155273</v>
      </c>
      <c r="N62" s="38"/>
      <c r="O62" s="43"/>
      <c r="P62" s="43"/>
      <c r="Q62" s="43"/>
      <c r="R62" s="43"/>
      <c r="S62" s="55"/>
    </row>
    <row r="63" spans="1:24" x14ac:dyDescent="0.3">
      <c r="B63" s="7"/>
      <c r="C63" s="11"/>
      <c r="D63" s="68"/>
      <c r="E63" s="11"/>
      <c r="F63" s="68"/>
      <c r="N63" s="38"/>
      <c r="O63" s="38"/>
    </row>
    <row r="64" spans="1:24" x14ac:dyDescent="0.3">
      <c r="B64" s="7" t="s">
        <v>6</v>
      </c>
      <c r="C64" s="12">
        <f>IF(OR(Valve_cap._In_Cv=0,Valve_size_in_Inch=0),"",IF(O11&lt;0.733,0.52,IF(O11&gt;156,0.06,IF(O11&lt;56,0.00000000969*O11^4-0.000006873*O11^3+0.0007058*O11^2-0.027829*O11+0.54649,-0.0003*O11+0.1068))))</f>
        <v>0.31311080686035159</v>
      </c>
      <c r="D64" s="12">
        <f>IF(OR(P8=0,Valve_size_in_Inch=0),"",IF(P11&lt;0.733,0.52,IF(P11&gt;156,0.06,IF(P11&lt;56,0.00000000969*P11^4-0.000006873*P11^3+0.0007058*P11^2-0.027829*P11+0.54649,-0.0003*P11+0.1068))))</f>
        <v>0.31311080686035159</v>
      </c>
      <c r="E64" s="12">
        <f>IF(OR(Q8=0,Valve_size_in_Inch=0),"",IF(Q11&lt;0.733,0.52,IF(Q11&gt;156,0.06,IF(Q11&lt;56,0.00000000969*Q11^4-0.000006873*Q11^3+0.0007058*Q11^2-0.027829*Q11+0.54649,-0.0003*Q11+0.1068))))</f>
        <v>0.31311080686035159</v>
      </c>
      <c r="F64" s="12">
        <f>IF(OR(R8=0,Valve_size_in_Inch=0),"",IF(R11&lt;0.733,0.52,IF(R11&gt;156,0.06,IF(R11&lt;56,0.00000000969*R11^4-0.000006873*R11^3+0.0007058*R11^2-0.027829*R11+0.54649,-0.0003*R11+0.1068))))</f>
        <v>0.31311080686035159</v>
      </c>
      <c r="N64" s="38"/>
      <c r="O64" s="38"/>
      <c r="P64" s="1"/>
      <c r="R64" s="1"/>
      <c r="S64" s="1"/>
      <c r="T64" s="1"/>
      <c r="U64" s="1"/>
      <c r="V64" s="1"/>
      <c r="W64" s="1"/>
      <c r="X64" s="1"/>
    </row>
    <row r="65" spans="1:60" x14ac:dyDescent="0.3">
      <c r="N65" s="38"/>
      <c r="O65" s="38"/>
      <c r="P65" s="1"/>
      <c r="R65" s="1"/>
      <c r="S65" s="1"/>
      <c r="T65" s="1"/>
      <c r="U65" s="1"/>
      <c r="V65" s="1"/>
      <c r="W65" s="1"/>
      <c r="X65" s="1"/>
    </row>
    <row r="66" spans="1:60" x14ac:dyDescent="0.3">
      <c r="N66" s="38"/>
      <c r="O66" s="54"/>
      <c r="P66" s="54"/>
      <c r="Q66" s="54"/>
      <c r="R66" s="54"/>
      <c r="S66" s="2"/>
      <c r="T66" s="2"/>
      <c r="U66" s="2"/>
      <c r="V66" s="2"/>
      <c r="W66" s="2"/>
    </row>
    <row r="67" spans="1:60" x14ac:dyDescent="0.3">
      <c r="N67" s="38"/>
      <c r="O67" s="43"/>
      <c r="P67" s="43"/>
      <c r="Q67" s="43"/>
      <c r="R67" s="43"/>
      <c r="S67" s="2"/>
      <c r="T67" s="2"/>
      <c r="U67" s="2"/>
      <c r="V67" s="2"/>
      <c r="W67" s="2"/>
    </row>
    <row r="68" spans="1:60" x14ac:dyDescent="0.3">
      <c r="N68" s="38"/>
      <c r="O68" s="40"/>
      <c r="P68" s="40"/>
      <c r="Q68" s="40"/>
      <c r="R68" s="40"/>
      <c r="S68" s="1"/>
      <c r="T68" s="1"/>
      <c r="U68" s="1"/>
      <c r="V68" s="1"/>
      <c r="W68" s="1"/>
    </row>
    <row r="69" spans="1:60" x14ac:dyDescent="0.3">
      <c r="N69" s="38"/>
      <c r="O69" s="43"/>
      <c r="P69" s="43"/>
      <c r="Q69" s="43"/>
      <c r="R69" s="43"/>
    </row>
    <row r="70" spans="1:60" x14ac:dyDescent="0.3">
      <c r="A70" s="67"/>
      <c r="N70" s="38"/>
    </row>
    <row r="71" spans="1:60" x14ac:dyDescent="0.3">
      <c r="N71" s="38"/>
    </row>
    <row r="72" spans="1:60" x14ac:dyDescent="0.3">
      <c r="N72" s="38"/>
    </row>
    <row r="73" spans="1:60" x14ac:dyDescent="0.3">
      <c r="N73" s="38"/>
      <c r="O73" s="54"/>
      <c r="P73" s="54"/>
      <c r="Q73" s="54"/>
      <c r="R73" s="54"/>
    </row>
    <row r="74" spans="1:60" x14ac:dyDescent="0.3">
      <c r="A74" s="4"/>
      <c r="N74" s="38"/>
      <c r="O74" s="43"/>
      <c r="P74" s="43"/>
      <c r="Q74" s="43"/>
      <c r="R74" s="43"/>
    </row>
    <row r="75" spans="1:60" x14ac:dyDescent="0.3">
      <c r="A75" s="4"/>
      <c r="N75" s="38"/>
      <c r="O75" s="40"/>
      <c r="P75" s="40"/>
      <c r="Q75" s="40"/>
      <c r="R75" s="40"/>
    </row>
    <row r="76" spans="1:60" x14ac:dyDescent="0.3">
      <c r="A76" s="4"/>
      <c r="B76" s="7"/>
      <c r="C76" s="11"/>
      <c r="D76" s="68"/>
      <c r="E76" s="11"/>
      <c r="F76" s="68"/>
      <c r="N76" s="38"/>
      <c r="O76" s="43"/>
      <c r="P76" s="43"/>
      <c r="Q76" s="43"/>
      <c r="R76" s="43"/>
    </row>
    <row r="77" spans="1:60" x14ac:dyDescent="0.3">
      <c r="A77" s="4"/>
    </row>
    <row r="78" spans="1:60" x14ac:dyDescent="0.3">
      <c r="A78" s="4"/>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row>
    <row r="79" spans="1:60" x14ac:dyDescent="0.3">
      <c r="A79" s="4"/>
      <c r="O79" s="46"/>
      <c r="P79" s="46"/>
      <c r="Q79" s="46"/>
      <c r="R79" s="46"/>
      <c r="S79" s="47"/>
      <c r="T79" s="46"/>
      <c r="U79" s="46"/>
      <c r="V79" s="46"/>
      <c r="W79" s="46"/>
      <c r="X79" s="48"/>
      <c r="Y79" s="46"/>
      <c r="Z79" s="46"/>
      <c r="AA79" s="46"/>
      <c r="AB79" s="46"/>
      <c r="AC79" s="46"/>
      <c r="AD79" s="46"/>
      <c r="AE79" s="47"/>
      <c r="AF79" s="46"/>
      <c r="AG79" s="46"/>
      <c r="AH79" s="46"/>
      <c r="AI79" s="46"/>
      <c r="AJ79" s="48"/>
      <c r="AK79" s="46"/>
      <c r="AL79" s="46"/>
      <c r="AM79" s="46"/>
      <c r="AN79" s="46"/>
      <c r="AO79" s="46"/>
      <c r="AP79" s="46"/>
      <c r="AQ79" s="47"/>
      <c r="AR79" s="46"/>
      <c r="AS79" s="46"/>
      <c r="AT79" s="46"/>
      <c r="AU79" s="46"/>
      <c r="AV79" s="48"/>
      <c r="AW79" s="46"/>
      <c r="AX79" s="46"/>
      <c r="AY79" s="46"/>
      <c r="AZ79" s="46"/>
      <c r="BA79" s="46"/>
      <c r="BB79" s="46"/>
      <c r="BC79" s="47"/>
      <c r="BD79" s="46"/>
      <c r="BE79" s="46"/>
      <c r="BF79" s="46"/>
      <c r="BG79" s="46"/>
      <c r="BH79" s="48"/>
    </row>
    <row r="80" spans="1:60" x14ac:dyDescent="0.3">
      <c r="A80" s="4"/>
      <c r="N80" s="17"/>
    </row>
    <row r="81" spans="1:60" x14ac:dyDescent="0.3">
      <c r="A81" s="4"/>
      <c r="N81" s="1"/>
      <c r="O81" s="1"/>
      <c r="P81" s="1"/>
      <c r="Q81" s="1"/>
      <c r="R81" s="1"/>
      <c r="S81" s="1"/>
      <c r="T81" s="1"/>
      <c r="U81" s="1"/>
      <c r="V81" s="1"/>
      <c r="W81" s="1"/>
      <c r="Z81" s="1"/>
      <c r="AA81" s="1"/>
      <c r="AB81" s="1"/>
      <c r="AC81" s="1"/>
      <c r="AD81" s="1"/>
      <c r="AE81" s="1"/>
      <c r="AF81" s="1"/>
      <c r="AG81" s="1"/>
      <c r="AH81" s="1"/>
      <c r="AI81" s="1"/>
      <c r="AL81" s="1"/>
      <c r="AM81" s="1"/>
      <c r="AN81" s="1"/>
      <c r="AO81" s="1"/>
      <c r="AP81" s="1"/>
      <c r="AQ81" s="1"/>
      <c r="AR81" s="1"/>
      <c r="AS81" s="1"/>
      <c r="AT81" s="1"/>
      <c r="AU81" s="1"/>
      <c r="AX81" s="1"/>
      <c r="AY81" s="1"/>
      <c r="AZ81" s="1"/>
      <c r="BA81" s="1"/>
      <c r="BB81" s="1"/>
      <c r="BC81" s="1"/>
      <c r="BD81" s="1"/>
      <c r="BE81" s="1"/>
      <c r="BF81" s="1"/>
      <c r="BG81" s="1"/>
    </row>
    <row r="82" spans="1:60" x14ac:dyDescent="0.3">
      <c r="A82" s="4"/>
      <c r="N82" s="1"/>
      <c r="O82" s="1"/>
      <c r="P82" s="1"/>
      <c r="Q82" s="1"/>
      <c r="R82" s="1"/>
      <c r="S82" s="1"/>
      <c r="T82" s="1"/>
      <c r="U82" s="1"/>
      <c r="V82" s="1"/>
      <c r="W82" s="1"/>
      <c r="X82" s="1"/>
      <c r="Z82" s="1"/>
      <c r="AA82" s="1"/>
      <c r="AB82" s="1"/>
      <c r="AC82" s="1"/>
      <c r="AD82" s="1"/>
      <c r="AE82" s="1"/>
      <c r="AF82" s="1"/>
      <c r="AG82" s="1"/>
      <c r="AH82" s="1"/>
      <c r="AI82" s="1"/>
      <c r="AJ82" s="1"/>
      <c r="AL82" s="1"/>
      <c r="AM82" s="1"/>
      <c r="AN82" s="1"/>
      <c r="AO82" s="1"/>
      <c r="AP82" s="1"/>
      <c r="AQ82" s="1"/>
      <c r="AR82" s="1"/>
      <c r="AS82" s="1"/>
      <c r="AT82" s="1"/>
      <c r="AU82" s="1"/>
      <c r="AV82" s="1"/>
      <c r="AX82" s="1"/>
      <c r="AY82" s="1"/>
      <c r="AZ82" s="1"/>
      <c r="BA82" s="1"/>
      <c r="BB82" s="1"/>
      <c r="BC82" s="1"/>
      <c r="BD82" s="1"/>
      <c r="BE82" s="1"/>
      <c r="BF82" s="1"/>
      <c r="BG82" s="1"/>
      <c r="BH82" s="1"/>
    </row>
    <row r="83" spans="1:60" x14ac:dyDescent="0.3">
      <c r="A83" s="4"/>
      <c r="N83" s="1"/>
      <c r="O83" s="1"/>
      <c r="P83" s="1"/>
      <c r="Q83" s="1"/>
      <c r="R83" s="1"/>
      <c r="S83" s="1"/>
      <c r="T83" s="1"/>
      <c r="U83" s="1"/>
      <c r="V83" s="1"/>
      <c r="W83" s="1"/>
      <c r="X83" s="1"/>
      <c r="Z83" s="1"/>
      <c r="AA83" s="1"/>
      <c r="AB83" s="1"/>
      <c r="AC83" s="1"/>
      <c r="AD83" s="1"/>
      <c r="AE83" s="1"/>
      <c r="AF83" s="1"/>
      <c r="AG83" s="1"/>
      <c r="AH83" s="1"/>
      <c r="AI83" s="1"/>
      <c r="AJ83" s="1"/>
      <c r="AL83" s="1"/>
      <c r="AM83" s="1"/>
      <c r="AN83" s="1"/>
      <c r="AO83" s="1"/>
      <c r="AP83" s="1"/>
      <c r="AQ83" s="1"/>
      <c r="AR83" s="1"/>
      <c r="AS83" s="1"/>
      <c r="AT83" s="1"/>
      <c r="AU83" s="1"/>
      <c r="AV83" s="1"/>
      <c r="AX83" s="1"/>
      <c r="AY83" s="1"/>
      <c r="AZ83" s="1"/>
      <c r="BA83" s="1"/>
      <c r="BB83" s="1"/>
      <c r="BC83" s="1"/>
      <c r="BD83" s="1"/>
      <c r="BE83" s="1"/>
      <c r="BF83" s="1"/>
      <c r="BG83" s="1"/>
      <c r="BH83" s="1"/>
    </row>
    <row r="84" spans="1:60" x14ac:dyDescent="0.3">
      <c r="N84" s="1"/>
      <c r="O84" s="2"/>
      <c r="P84" s="2"/>
      <c r="Q84" s="2"/>
      <c r="R84" s="2"/>
      <c r="S84" s="2"/>
      <c r="T84" s="2"/>
      <c r="U84" s="2"/>
      <c r="V84" s="2"/>
      <c r="W84" s="2"/>
      <c r="Z84" s="1"/>
      <c r="AA84" s="2"/>
      <c r="AB84" s="2"/>
      <c r="AC84" s="2"/>
      <c r="AD84" s="2"/>
      <c r="AE84" s="2"/>
      <c r="AF84" s="2"/>
      <c r="AG84" s="2"/>
      <c r="AH84" s="2"/>
      <c r="AI84" s="2"/>
      <c r="AL84" s="1"/>
      <c r="AM84" s="2"/>
      <c r="AN84" s="2"/>
      <c r="AO84" s="2"/>
      <c r="AP84" s="2"/>
      <c r="AQ84" s="2"/>
      <c r="AR84" s="2"/>
      <c r="AS84" s="2"/>
      <c r="AT84" s="2"/>
      <c r="AU84" s="2"/>
      <c r="AX84" s="1"/>
      <c r="AY84" s="2"/>
      <c r="AZ84" s="2"/>
      <c r="BA84" s="2"/>
      <c r="BB84" s="2"/>
      <c r="BC84" s="2"/>
      <c r="BD84" s="2"/>
      <c r="BE84" s="2"/>
      <c r="BF84" s="2"/>
      <c r="BG84" s="2"/>
    </row>
    <row r="85" spans="1:60" x14ac:dyDescent="0.3">
      <c r="N85" s="1"/>
      <c r="O85" s="2"/>
      <c r="P85" s="2"/>
      <c r="Q85" s="2"/>
      <c r="R85" s="2"/>
      <c r="S85" s="2"/>
      <c r="T85" s="2"/>
      <c r="U85" s="2"/>
      <c r="V85" s="2"/>
      <c r="W85" s="2"/>
      <c r="Z85" s="1"/>
      <c r="AA85" s="2"/>
      <c r="AB85" s="2"/>
      <c r="AC85" s="2"/>
      <c r="AD85" s="2"/>
      <c r="AE85" s="2"/>
      <c r="AF85" s="2"/>
      <c r="AG85" s="2"/>
      <c r="AH85" s="2"/>
      <c r="AI85" s="2"/>
      <c r="AL85" s="1"/>
      <c r="AM85" s="2"/>
      <c r="AN85" s="2"/>
      <c r="AO85" s="2"/>
      <c r="AP85" s="2"/>
      <c r="AQ85" s="2"/>
      <c r="AR85" s="2"/>
      <c r="AS85" s="2"/>
      <c r="AT85" s="2"/>
      <c r="AU85" s="2"/>
      <c r="AX85" s="1"/>
      <c r="AY85" s="2"/>
      <c r="AZ85" s="2"/>
      <c r="BA85" s="2"/>
      <c r="BB85" s="2"/>
      <c r="BC85" s="2"/>
      <c r="BD85" s="2"/>
      <c r="BE85" s="2"/>
      <c r="BF85" s="2"/>
      <c r="BG85" s="2"/>
    </row>
    <row r="86" spans="1:60" x14ac:dyDescent="0.3">
      <c r="N86" s="1"/>
      <c r="O86" s="3"/>
      <c r="P86" s="1"/>
      <c r="Q86" s="1"/>
      <c r="R86" s="1"/>
      <c r="S86" s="1"/>
      <c r="T86" s="1"/>
      <c r="U86" s="1"/>
      <c r="V86" s="1"/>
      <c r="W86" s="1"/>
      <c r="Z86" s="1"/>
      <c r="AA86" s="3"/>
      <c r="AB86" s="1"/>
      <c r="AC86" s="1"/>
      <c r="AD86" s="1"/>
      <c r="AE86" s="1"/>
      <c r="AF86" s="1"/>
      <c r="AG86" s="1"/>
      <c r="AH86" s="1"/>
      <c r="AI86" s="1"/>
      <c r="AL86" s="1"/>
      <c r="AM86" s="3"/>
      <c r="AN86" s="1"/>
      <c r="AO86" s="1"/>
      <c r="AP86" s="1"/>
      <c r="AQ86" s="1"/>
      <c r="AR86" s="1"/>
      <c r="AS86" s="1"/>
      <c r="AT86" s="1"/>
      <c r="AU86" s="1"/>
      <c r="AX86" s="1"/>
      <c r="AY86" s="3"/>
      <c r="AZ86" s="1"/>
      <c r="BA86" s="1"/>
      <c r="BB86" s="1"/>
      <c r="BC86" s="1"/>
      <c r="BD86" s="1"/>
      <c r="BE86" s="1"/>
      <c r="BF86" s="1"/>
      <c r="BG86" s="1"/>
    </row>
    <row r="88" spans="1:60" x14ac:dyDescent="0.3">
      <c r="N88" s="1"/>
      <c r="Z88" s="1"/>
      <c r="AL88" s="1"/>
      <c r="AX88" s="1"/>
    </row>
    <row r="89" spans="1:60" x14ac:dyDescent="0.3">
      <c r="N89" s="1"/>
      <c r="O89" s="1"/>
      <c r="P89" s="1"/>
      <c r="Q89" s="1"/>
      <c r="R89" s="1"/>
      <c r="S89" s="1"/>
      <c r="T89" s="1"/>
      <c r="U89" s="1"/>
      <c r="V89" s="1"/>
      <c r="W89" s="1"/>
      <c r="X89" s="1"/>
      <c r="Z89" s="1"/>
      <c r="AA89" s="1"/>
      <c r="AB89" s="1"/>
      <c r="AC89" s="1"/>
      <c r="AD89" s="1"/>
      <c r="AE89" s="1"/>
      <c r="AF89" s="1"/>
      <c r="AG89" s="1"/>
      <c r="AH89" s="1"/>
      <c r="AI89" s="1"/>
      <c r="AJ89" s="1"/>
      <c r="AL89" s="1"/>
      <c r="AM89" s="1"/>
      <c r="AN89" s="1"/>
      <c r="AO89" s="1"/>
      <c r="AP89" s="1"/>
      <c r="AQ89" s="1"/>
      <c r="AR89" s="1"/>
      <c r="AS89" s="1"/>
      <c r="AT89" s="1"/>
      <c r="AU89" s="1"/>
      <c r="AV89" s="1"/>
      <c r="AX89" s="1"/>
      <c r="AY89" s="1"/>
      <c r="AZ89" s="1"/>
      <c r="BA89" s="1"/>
      <c r="BB89" s="1"/>
      <c r="BC89" s="1"/>
      <c r="BD89" s="1"/>
      <c r="BE89" s="1"/>
      <c r="BF89" s="1"/>
      <c r="BG89" s="1"/>
      <c r="BH89" s="1"/>
    </row>
    <row r="90" spans="1:60" x14ac:dyDescent="0.3">
      <c r="N90" s="1"/>
      <c r="O90" s="1"/>
      <c r="P90" s="1"/>
      <c r="Q90" s="1"/>
      <c r="R90" s="1"/>
      <c r="S90" s="1"/>
      <c r="T90" s="1"/>
      <c r="U90" s="1"/>
      <c r="V90" s="1"/>
      <c r="W90" s="1"/>
      <c r="X90" s="1"/>
      <c r="Z90" s="1"/>
      <c r="AA90" s="1"/>
      <c r="AB90" s="1"/>
      <c r="AC90" s="1"/>
      <c r="AD90" s="1"/>
      <c r="AE90" s="1"/>
      <c r="AF90" s="1"/>
      <c r="AG90" s="1"/>
      <c r="AH90" s="1"/>
      <c r="AI90" s="1"/>
      <c r="AJ90" s="1"/>
      <c r="AL90" s="1"/>
      <c r="AM90" s="1"/>
      <c r="AN90" s="1"/>
      <c r="AO90" s="1"/>
      <c r="AP90" s="1"/>
      <c r="AQ90" s="1"/>
      <c r="AR90" s="1"/>
      <c r="AS90" s="1"/>
      <c r="AT90" s="1"/>
      <c r="AU90" s="1"/>
      <c r="AV90" s="1"/>
      <c r="AX90" s="1"/>
      <c r="AY90" s="1"/>
      <c r="AZ90" s="1"/>
      <c r="BA90" s="1"/>
      <c r="BB90" s="1"/>
      <c r="BC90" s="1"/>
      <c r="BD90" s="1"/>
      <c r="BE90" s="1"/>
      <c r="BF90" s="1"/>
      <c r="BG90" s="1"/>
      <c r="BH90" s="1"/>
    </row>
    <row r="91" spans="1:60" x14ac:dyDescent="0.3">
      <c r="N91" s="1"/>
      <c r="O91" s="2"/>
      <c r="P91" s="2"/>
      <c r="Q91" s="2"/>
      <c r="R91" s="2"/>
      <c r="S91" s="2"/>
      <c r="T91" s="2"/>
      <c r="U91" s="2"/>
      <c r="V91" s="2"/>
      <c r="W91" s="2"/>
      <c r="Z91" s="1"/>
      <c r="AA91" s="2"/>
      <c r="AB91" s="2"/>
      <c r="AC91" s="2"/>
      <c r="AD91" s="2"/>
      <c r="AE91" s="2"/>
      <c r="AF91" s="2"/>
      <c r="AG91" s="2"/>
      <c r="AH91" s="2"/>
      <c r="AI91" s="2"/>
      <c r="AL91" s="1"/>
      <c r="AM91" s="2"/>
      <c r="AN91" s="2"/>
      <c r="AO91" s="2"/>
      <c r="AP91" s="2"/>
      <c r="AQ91" s="2"/>
      <c r="AR91" s="2"/>
      <c r="AS91" s="2"/>
      <c r="AT91" s="2"/>
      <c r="AU91" s="2"/>
      <c r="AX91" s="1"/>
      <c r="AY91" s="2"/>
      <c r="AZ91" s="2"/>
      <c r="BA91" s="2"/>
      <c r="BB91" s="2"/>
      <c r="BC91" s="2"/>
      <c r="BD91" s="2"/>
      <c r="BE91" s="2"/>
      <c r="BF91" s="2"/>
      <c r="BG91" s="2"/>
    </row>
    <row r="92" spans="1:60" x14ac:dyDescent="0.3">
      <c r="N92" s="1"/>
      <c r="O92" s="2"/>
      <c r="P92" s="2"/>
      <c r="Q92" s="2"/>
      <c r="R92" s="2"/>
      <c r="S92" s="2"/>
      <c r="T92" s="2"/>
      <c r="U92" s="2"/>
      <c r="V92" s="2"/>
      <c r="W92" s="2"/>
      <c r="Z92" s="1"/>
      <c r="AA92" s="2"/>
      <c r="AB92" s="2"/>
      <c r="AC92" s="2"/>
      <c r="AD92" s="2"/>
      <c r="AE92" s="2"/>
      <c r="AF92" s="2"/>
      <c r="AG92" s="2"/>
      <c r="AH92" s="2"/>
      <c r="AI92" s="2"/>
      <c r="AL92" s="1"/>
      <c r="AM92" s="2"/>
      <c r="AN92" s="2"/>
      <c r="AO92" s="2"/>
      <c r="AP92" s="2"/>
      <c r="AQ92" s="2"/>
      <c r="AR92" s="2"/>
      <c r="AS92" s="2"/>
      <c r="AT92" s="2"/>
      <c r="AU92" s="2"/>
      <c r="AX92" s="1"/>
      <c r="AY92" s="2"/>
      <c r="AZ92" s="2"/>
      <c r="BA92" s="2"/>
      <c r="BB92" s="2"/>
      <c r="BC92" s="2"/>
      <c r="BD92" s="2"/>
      <c r="BE92" s="2"/>
      <c r="BF92" s="2"/>
      <c r="BG92" s="2"/>
    </row>
    <row r="93" spans="1:60" x14ac:dyDescent="0.3">
      <c r="N93" s="1"/>
      <c r="O93" s="3"/>
      <c r="P93" s="1"/>
      <c r="Q93" s="1"/>
      <c r="R93" s="1"/>
      <c r="S93" s="1"/>
      <c r="T93" s="1"/>
      <c r="U93" s="1"/>
      <c r="V93" s="1"/>
      <c r="W93" s="1"/>
      <c r="Z93" s="1"/>
      <c r="AA93" s="3"/>
      <c r="AB93" s="1"/>
      <c r="AC93" s="1"/>
      <c r="AD93" s="1"/>
      <c r="AE93" s="1"/>
      <c r="AF93" s="1"/>
      <c r="AG93" s="1"/>
      <c r="AH93" s="1"/>
      <c r="AI93" s="1"/>
      <c r="AL93" s="1"/>
      <c r="AM93" s="3"/>
      <c r="AN93" s="1"/>
      <c r="AO93" s="1"/>
      <c r="AP93" s="1"/>
      <c r="AQ93" s="1"/>
      <c r="AR93" s="1"/>
      <c r="AS93" s="1"/>
      <c r="AT93" s="1"/>
      <c r="AU93" s="1"/>
      <c r="AX93" s="1"/>
      <c r="AY93" s="3"/>
      <c r="AZ93" s="1"/>
      <c r="BA93" s="1"/>
      <c r="BB93" s="1"/>
      <c r="BC93" s="1"/>
      <c r="BD93" s="1"/>
      <c r="BE93" s="1"/>
      <c r="BF93" s="1"/>
      <c r="BG93" s="1"/>
    </row>
    <row r="95" spans="1:60" x14ac:dyDescent="0.3">
      <c r="N95" s="37"/>
      <c r="Z95" s="37"/>
      <c r="AL95" s="37"/>
      <c r="AX95" s="37"/>
    </row>
    <row r="96" spans="1:60" x14ac:dyDescent="0.3">
      <c r="N96" s="1"/>
      <c r="O96" s="1"/>
      <c r="P96" s="1"/>
      <c r="Q96" s="1"/>
      <c r="R96" s="1"/>
      <c r="S96" s="1"/>
      <c r="T96" s="1"/>
      <c r="U96" s="1"/>
      <c r="V96" s="1"/>
      <c r="W96" s="1"/>
      <c r="X96" s="1"/>
      <c r="Z96" s="1"/>
      <c r="AA96" s="1"/>
      <c r="AB96" s="1"/>
      <c r="AC96" s="1"/>
      <c r="AD96" s="1"/>
      <c r="AE96" s="1"/>
      <c r="AF96" s="1"/>
      <c r="AG96" s="1"/>
      <c r="AH96" s="1"/>
      <c r="AI96" s="1"/>
      <c r="AJ96" s="1"/>
      <c r="AL96" s="1"/>
      <c r="AM96" s="1"/>
      <c r="AN96" s="1"/>
      <c r="AO96" s="1"/>
      <c r="AP96" s="1"/>
      <c r="AQ96" s="1"/>
      <c r="AR96" s="1"/>
      <c r="AS96" s="1"/>
      <c r="AT96" s="1"/>
      <c r="AU96" s="1"/>
      <c r="AV96" s="1"/>
      <c r="AX96" s="1"/>
      <c r="AY96" s="1"/>
      <c r="AZ96" s="1"/>
      <c r="BA96" s="1"/>
      <c r="BB96" s="1"/>
      <c r="BC96" s="1"/>
      <c r="BD96" s="1"/>
      <c r="BE96" s="1"/>
      <c r="BF96" s="1"/>
      <c r="BG96" s="1"/>
      <c r="BH96" s="1"/>
    </row>
    <row r="97" spans="14:60" x14ac:dyDescent="0.3">
      <c r="N97" s="1"/>
      <c r="O97" s="1"/>
      <c r="P97" s="1"/>
      <c r="Q97" s="1"/>
      <c r="R97" s="1"/>
      <c r="S97" s="1"/>
      <c r="T97" s="1"/>
      <c r="U97" s="1"/>
      <c r="V97" s="1"/>
      <c r="W97" s="1"/>
      <c r="X97" s="1"/>
      <c r="Z97" s="1"/>
      <c r="AA97" s="1"/>
      <c r="AB97" s="1"/>
      <c r="AC97" s="1"/>
      <c r="AD97" s="1"/>
      <c r="AE97" s="1"/>
      <c r="AF97" s="1"/>
      <c r="AG97" s="1"/>
      <c r="AH97" s="1"/>
      <c r="AI97" s="1"/>
      <c r="AJ97" s="1"/>
      <c r="AL97" s="1"/>
      <c r="AM97" s="1"/>
      <c r="AN97" s="1"/>
      <c r="AO97" s="1"/>
      <c r="AP97" s="1"/>
      <c r="AQ97" s="1"/>
      <c r="AR97" s="1"/>
      <c r="AS97" s="1"/>
      <c r="AT97" s="1"/>
      <c r="AU97" s="1"/>
      <c r="AV97" s="1"/>
      <c r="AX97" s="1"/>
      <c r="AY97" s="1"/>
      <c r="AZ97" s="1"/>
      <c r="BA97" s="1"/>
      <c r="BB97" s="1"/>
      <c r="BC97" s="1"/>
      <c r="BD97" s="1"/>
      <c r="BE97" s="1"/>
      <c r="BF97" s="1"/>
      <c r="BG97" s="1"/>
      <c r="BH97" s="1"/>
    </row>
    <row r="98" spans="14:60" x14ac:dyDescent="0.3">
      <c r="N98" s="1"/>
      <c r="O98" s="2"/>
      <c r="P98" s="2"/>
      <c r="Q98" s="2"/>
      <c r="R98" s="2"/>
      <c r="S98" s="2"/>
      <c r="T98" s="2"/>
      <c r="U98" s="2"/>
      <c r="V98" s="2"/>
      <c r="W98" s="2"/>
      <c r="Z98" s="1"/>
      <c r="AA98" s="2"/>
      <c r="AB98" s="2"/>
      <c r="AC98" s="2"/>
      <c r="AD98" s="2"/>
      <c r="AE98" s="2"/>
      <c r="AF98" s="2"/>
      <c r="AG98" s="2"/>
      <c r="AH98" s="2"/>
      <c r="AI98" s="2"/>
      <c r="AL98" s="1"/>
      <c r="AM98" s="2"/>
      <c r="AN98" s="2"/>
      <c r="AO98" s="2"/>
      <c r="AP98" s="2"/>
      <c r="AQ98" s="2"/>
      <c r="AR98" s="2"/>
      <c r="AS98" s="2"/>
      <c r="AT98" s="2"/>
      <c r="AU98" s="2"/>
      <c r="AX98" s="1"/>
      <c r="AY98" s="2"/>
      <c r="AZ98" s="2"/>
      <c r="BA98" s="2"/>
      <c r="BB98" s="2"/>
      <c r="BC98" s="2"/>
      <c r="BD98" s="2"/>
      <c r="BE98" s="2"/>
      <c r="BF98" s="2"/>
      <c r="BG98" s="2"/>
    </row>
    <row r="99" spans="14:60" x14ac:dyDescent="0.3">
      <c r="N99" s="1"/>
      <c r="O99" s="2"/>
      <c r="P99" s="2"/>
      <c r="Q99" s="2"/>
      <c r="R99" s="2"/>
      <c r="S99" s="2"/>
      <c r="T99" s="2"/>
      <c r="U99" s="2"/>
      <c r="V99" s="2"/>
      <c r="W99" s="2"/>
      <c r="Z99" s="1"/>
      <c r="AA99" s="2"/>
      <c r="AB99" s="2"/>
      <c r="AC99" s="2"/>
      <c r="AD99" s="2"/>
      <c r="AE99" s="2"/>
      <c r="AF99" s="2"/>
      <c r="AG99" s="2"/>
      <c r="AH99" s="2"/>
      <c r="AI99" s="2"/>
      <c r="AL99" s="1"/>
      <c r="AM99" s="2"/>
      <c r="AN99" s="2"/>
      <c r="AO99" s="2"/>
      <c r="AP99" s="2"/>
      <c r="AQ99" s="2"/>
      <c r="AR99" s="2"/>
      <c r="AS99" s="2"/>
      <c r="AT99" s="2"/>
      <c r="AU99" s="2"/>
      <c r="AX99" s="1"/>
      <c r="AY99" s="2"/>
      <c r="AZ99" s="2"/>
      <c r="BA99" s="2"/>
      <c r="BB99" s="2"/>
      <c r="BC99" s="2"/>
      <c r="BD99" s="2"/>
      <c r="BE99" s="2"/>
      <c r="BF99" s="2"/>
      <c r="BG99" s="2"/>
    </row>
    <row r="100" spans="14:60" x14ac:dyDescent="0.3">
      <c r="N100" s="1"/>
      <c r="O100" s="3"/>
      <c r="P100" s="1"/>
      <c r="Q100" s="1"/>
      <c r="R100" s="1"/>
      <c r="S100" s="1"/>
      <c r="T100" s="1"/>
      <c r="U100" s="1"/>
      <c r="V100" s="1"/>
      <c r="W100" s="1"/>
      <c r="Z100" s="1"/>
      <c r="AA100" s="3"/>
      <c r="AB100" s="1"/>
      <c r="AC100" s="1"/>
      <c r="AD100" s="1"/>
      <c r="AE100" s="1"/>
      <c r="AF100" s="1"/>
      <c r="AG100" s="1"/>
      <c r="AH100" s="1"/>
      <c r="AI100" s="1"/>
      <c r="AL100" s="1"/>
      <c r="AM100" s="3"/>
      <c r="AN100" s="1"/>
      <c r="AO100" s="1"/>
      <c r="AP100" s="1"/>
      <c r="AQ100" s="1"/>
      <c r="AR100" s="1"/>
      <c r="AS100" s="1"/>
      <c r="AT100" s="1"/>
      <c r="AU100" s="1"/>
      <c r="AX100" s="1"/>
      <c r="AY100" s="3"/>
      <c r="AZ100" s="1"/>
      <c r="BA100" s="1"/>
      <c r="BB100" s="1"/>
      <c r="BC100" s="1"/>
      <c r="BD100" s="1"/>
      <c r="BE100" s="1"/>
      <c r="BF100" s="1"/>
      <c r="BG100" s="1"/>
    </row>
    <row r="102" spans="14:60" x14ac:dyDescent="0.3">
      <c r="N102" s="1"/>
      <c r="Z102" s="1"/>
      <c r="AL102" s="1"/>
      <c r="AX102" s="1"/>
    </row>
    <row r="103" spans="14:60" x14ac:dyDescent="0.3">
      <c r="N103" s="1"/>
      <c r="O103" s="1"/>
      <c r="P103" s="1"/>
      <c r="Q103" s="1"/>
      <c r="R103" s="1"/>
      <c r="S103" s="1"/>
      <c r="T103" s="1"/>
      <c r="U103" s="1"/>
      <c r="V103" s="1"/>
      <c r="W103" s="1"/>
      <c r="X103" s="1"/>
      <c r="Z103" s="1"/>
      <c r="AA103" s="1"/>
      <c r="AB103" s="1"/>
      <c r="AC103" s="1"/>
      <c r="AD103" s="1"/>
      <c r="AE103" s="1"/>
      <c r="AF103" s="1"/>
      <c r="AG103" s="1"/>
      <c r="AH103" s="1"/>
      <c r="AI103" s="1"/>
      <c r="AJ103" s="1"/>
      <c r="AL103" s="1"/>
      <c r="AM103" s="1"/>
      <c r="AN103" s="1"/>
      <c r="AO103" s="1"/>
      <c r="AP103" s="1"/>
      <c r="AQ103" s="1"/>
      <c r="AR103" s="1"/>
      <c r="AS103" s="1"/>
      <c r="AT103" s="1"/>
      <c r="AU103" s="1"/>
      <c r="AV103" s="1"/>
      <c r="AX103" s="1"/>
      <c r="AY103" s="1"/>
      <c r="AZ103" s="1"/>
      <c r="BA103" s="1"/>
      <c r="BB103" s="1"/>
      <c r="BC103" s="1"/>
      <c r="BD103" s="1"/>
      <c r="BE103" s="1"/>
      <c r="BF103" s="1"/>
      <c r="BG103" s="1"/>
      <c r="BH103" s="1"/>
    </row>
    <row r="104" spans="14:60" x14ac:dyDescent="0.3">
      <c r="N104" s="1"/>
      <c r="O104" s="1"/>
      <c r="P104" s="1"/>
      <c r="Q104" s="1"/>
      <c r="R104" s="1"/>
      <c r="S104" s="1"/>
      <c r="T104" s="1"/>
      <c r="U104" s="1"/>
      <c r="V104" s="1"/>
      <c r="W104" s="1"/>
      <c r="X104" s="1"/>
      <c r="Z104" s="1"/>
      <c r="AA104" s="1"/>
      <c r="AB104" s="1"/>
      <c r="AC104" s="1"/>
      <c r="AD104" s="1"/>
      <c r="AE104" s="1"/>
      <c r="AF104" s="1"/>
      <c r="AG104" s="1"/>
      <c r="AH104" s="1"/>
      <c r="AI104" s="1"/>
      <c r="AJ104" s="1"/>
      <c r="AL104" s="1"/>
      <c r="AM104" s="1"/>
      <c r="AN104" s="1"/>
      <c r="AO104" s="1"/>
      <c r="AP104" s="1"/>
      <c r="AQ104" s="1"/>
      <c r="AR104" s="1"/>
      <c r="AS104" s="1"/>
      <c r="AT104" s="1"/>
      <c r="AU104" s="1"/>
      <c r="AV104" s="1"/>
      <c r="AX104" s="1"/>
      <c r="AY104" s="1"/>
      <c r="AZ104" s="1"/>
      <c r="BA104" s="1"/>
      <c r="BB104" s="1"/>
      <c r="BC104" s="1"/>
      <c r="BD104" s="1"/>
      <c r="BE104" s="1"/>
      <c r="BF104" s="1"/>
      <c r="BG104" s="1"/>
      <c r="BH104" s="1"/>
    </row>
    <row r="105" spans="14:60" x14ac:dyDescent="0.3">
      <c r="N105" s="1"/>
      <c r="O105" s="2"/>
      <c r="P105" s="2"/>
      <c r="Q105" s="2"/>
      <c r="R105" s="2"/>
      <c r="S105" s="2"/>
      <c r="T105" s="2"/>
      <c r="U105" s="2"/>
      <c r="V105" s="2"/>
      <c r="W105" s="2"/>
      <c r="Z105" s="1"/>
      <c r="AA105" s="2"/>
      <c r="AB105" s="2"/>
      <c r="AC105" s="2"/>
      <c r="AD105" s="2"/>
      <c r="AE105" s="2"/>
      <c r="AF105" s="2"/>
      <c r="AG105" s="2"/>
      <c r="AH105" s="2"/>
      <c r="AI105" s="2"/>
      <c r="AL105" s="1"/>
      <c r="AM105" s="2"/>
      <c r="AN105" s="2"/>
      <c r="AO105" s="2"/>
      <c r="AP105" s="2"/>
      <c r="AQ105" s="2"/>
      <c r="AR105" s="2"/>
      <c r="AS105" s="2"/>
      <c r="AT105" s="2"/>
      <c r="AU105" s="2"/>
      <c r="AX105" s="1"/>
      <c r="AY105" s="2"/>
      <c r="AZ105" s="2"/>
      <c r="BA105" s="2"/>
      <c r="BB105" s="2"/>
      <c r="BC105" s="2"/>
      <c r="BD105" s="2"/>
      <c r="BE105" s="2"/>
      <c r="BF105" s="2"/>
      <c r="BG105" s="2"/>
    </row>
    <row r="106" spans="14:60" x14ac:dyDescent="0.3">
      <c r="N106" s="1"/>
      <c r="O106" s="2"/>
      <c r="P106" s="2"/>
      <c r="Q106" s="2"/>
      <c r="R106" s="2"/>
      <c r="S106" s="2"/>
      <c r="T106" s="2"/>
      <c r="U106" s="2"/>
      <c r="V106" s="2"/>
      <c r="W106" s="2"/>
      <c r="Z106" s="1"/>
      <c r="AA106" s="2"/>
      <c r="AB106" s="2"/>
      <c r="AC106" s="2"/>
      <c r="AD106" s="2"/>
      <c r="AE106" s="2"/>
      <c r="AF106" s="2"/>
      <c r="AG106" s="2"/>
      <c r="AH106" s="2"/>
      <c r="AI106" s="2"/>
      <c r="AL106" s="1"/>
      <c r="AM106" s="2"/>
      <c r="AN106" s="2"/>
      <c r="AO106" s="2"/>
      <c r="AP106" s="2"/>
      <c r="AQ106" s="2"/>
      <c r="AR106" s="2"/>
      <c r="AS106" s="2"/>
      <c r="AT106" s="2"/>
      <c r="AU106" s="2"/>
      <c r="AX106" s="1"/>
      <c r="AY106" s="2"/>
      <c r="AZ106" s="2"/>
      <c r="BA106" s="2"/>
      <c r="BB106" s="2"/>
      <c r="BC106" s="2"/>
      <c r="BD106" s="2"/>
      <c r="BE106" s="2"/>
      <c r="BF106" s="2"/>
      <c r="BG106" s="2"/>
    </row>
    <row r="107" spans="14:60" x14ac:dyDescent="0.3">
      <c r="N107" s="1"/>
      <c r="O107" s="3"/>
      <c r="P107" s="1"/>
      <c r="Q107" s="1"/>
      <c r="R107" s="1"/>
      <c r="S107" s="1"/>
      <c r="T107" s="1"/>
      <c r="U107" s="1"/>
      <c r="V107" s="1"/>
      <c r="W107" s="1"/>
      <c r="Z107" s="1"/>
      <c r="AA107" s="3"/>
      <c r="AB107" s="1"/>
      <c r="AC107" s="1"/>
      <c r="AD107" s="1"/>
      <c r="AE107" s="1"/>
      <c r="AF107" s="1"/>
      <c r="AG107" s="1"/>
      <c r="AH107" s="1"/>
      <c r="AI107" s="1"/>
      <c r="AL107" s="1"/>
      <c r="AM107" s="3"/>
      <c r="AN107" s="1"/>
      <c r="AO107" s="1"/>
      <c r="AP107" s="1"/>
      <c r="AQ107" s="1"/>
      <c r="AR107" s="1"/>
      <c r="AS107" s="1"/>
      <c r="AT107" s="1"/>
      <c r="AU107" s="1"/>
      <c r="AX107" s="1"/>
      <c r="AY107" s="3"/>
      <c r="AZ107" s="1"/>
      <c r="BA107" s="1"/>
      <c r="BB107" s="1"/>
      <c r="BC107" s="1"/>
      <c r="BD107" s="1"/>
      <c r="BE107" s="1"/>
      <c r="BF107" s="1"/>
      <c r="BG107" s="1"/>
    </row>
    <row r="109" spans="14:60" x14ac:dyDescent="0.3">
      <c r="N109" s="1"/>
      <c r="Z109" s="1"/>
      <c r="AL109" s="1"/>
      <c r="AX109" s="1"/>
    </row>
    <row r="110" spans="14:60" x14ac:dyDescent="0.3">
      <c r="N110" s="1"/>
      <c r="O110" s="1"/>
      <c r="P110" s="1"/>
      <c r="Q110" s="1"/>
      <c r="R110" s="1"/>
      <c r="S110" s="1"/>
      <c r="T110" s="1"/>
      <c r="U110" s="1"/>
      <c r="V110" s="1"/>
      <c r="W110" s="1"/>
      <c r="X110" s="1"/>
      <c r="Z110" s="1"/>
      <c r="AA110" s="1"/>
      <c r="AB110" s="1"/>
      <c r="AC110" s="1"/>
      <c r="AD110" s="1"/>
      <c r="AE110" s="1"/>
      <c r="AF110" s="1"/>
      <c r="AG110" s="1"/>
      <c r="AH110" s="1"/>
      <c r="AI110" s="1"/>
      <c r="AJ110" s="1"/>
      <c r="AL110" s="1"/>
      <c r="AM110" s="1"/>
      <c r="AN110" s="1"/>
      <c r="AO110" s="1"/>
      <c r="AP110" s="1"/>
      <c r="AQ110" s="1"/>
      <c r="AR110" s="1"/>
      <c r="AS110" s="1"/>
      <c r="AT110" s="1"/>
      <c r="AU110" s="1"/>
      <c r="AV110" s="1"/>
      <c r="AX110" s="1"/>
      <c r="AY110" s="1"/>
      <c r="AZ110" s="1"/>
      <c r="BA110" s="1"/>
      <c r="BB110" s="1"/>
      <c r="BC110" s="1"/>
      <c r="BD110" s="1"/>
      <c r="BE110" s="1"/>
      <c r="BF110" s="1"/>
      <c r="BG110" s="1"/>
      <c r="BH110" s="1"/>
    </row>
    <row r="111" spans="14:60" x14ac:dyDescent="0.3">
      <c r="N111" s="1"/>
      <c r="O111" s="1"/>
      <c r="P111" s="1"/>
      <c r="Q111" s="1"/>
      <c r="R111" s="1"/>
      <c r="S111" s="1"/>
      <c r="T111" s="1"/>
      <c r="U111" s="1"/>
      <c r="V111" s="1"/>
      <c r="W111" s="1"/>
      <c r="X111" s="1"/>
      <c r="Z111" s="1"/>
      <c r="AA111" s="1"/>
      <c r="AB111" s="1"/>
      <c r="AC111" s="1"/>
      <c r="AD111" s="1"/>
      <c r="AE111" s="1"/>
      <c r="AF111" s="1"/>
      <c r="AG111" s="1"/>
      <c r="AH111" s="1"/>
      <c r="AI111" s="1"/>
      <c r="AJ111" s="1"/>
      <c r="AL111" s="1"/>
      <c r="AM111" s="1"/>
      <c r="AN111" s="1"/>
      <c r="AO111" s="1"/>
      <c r="AP111" s="1"/>
      <c r="AQ111" s="1"/>
      <c r="AR111" s="1"/>
      <c r="AS111" s="1"/>
      <c r="AT111" s="1"/>
      <c r="AU111" s="1"/>
      <c r="AV111" s="1"/>
      <c r="AX111" s="1"/>
      <c r="AY111" s="1"/>
      <c r="AZ111" s="1"/>
      <c r="BA111" s="1"/>
      <c r="BB111" s="1"/>
      <c r="BC111" s="1"/>
      <c r="BD111" s="1"/>
      <c r="BE111" s="1"/>
      <c r="BF111" s="1"/>
      <c r="BG111" s="1"/>
      <c r="BH111" s="1"/>
    </row>
    <row r="112" spans="14:60" x14ac:dyDescent="0.3">
      <c r="N112" s="1"/>
      <c r="O112" s="2"/>
      <c r="P112" s="2"/>
      <c r="Q112" s="2"/>
      <c r="R112" s="2"/>
      <c r="S112" s="2"/>
      <c r="T112" s="2"/>
      <c r="U112" s="2"/>
      <c r="V112" s="2"/>
      <c r="W112" s="2"/>
      <c r="Z112" s="1"/>
      <c r="AA112" s="2"/>
      <c r="AB112" s="2"/>
      <c r="AC112" s="2"/>
      <c r="AD112" s="2"/>
      <c r="AE112" s="2"/>
      <c r="AF112" s="2"/>
      <c r="AG112" s="2"/>
      <c r="AH112" s="2"/>
      <c r="AI112" s="2"/>
      <c r="AL112" s="1"/>
      <c r="AM112" s="2"/>
      <c r="AN112" s="2"/>
      <c r="AO112" s="2"/>
      <c r="AP112" s="2"/>
      <c r="AQ112" s="2"/>
      <c r="AR112" s="2"/>
      <c r="AS112" s="2"/>
      <c r="AT112" s="2"/>
      <c r="AU112" s="2"/>
      <c r="AX112" s="1"/>
      <c r="AY112" s="2"/>
      <c r="AZ112" s="2"/>
      <c r="BA112" s="2"/>
      <c r="BB112" s="2"/>
      <c r="BC112" s="2"/>
      <c r="BD112" s="2"/>
      <c r="BE112" s="2"/>
      <c r="BF112" s="2"/>
      <c r="BG112" s="2"/>
    </row>
    <row r="113" spans="14:60" x14ac:dyDescent="0.3">
      <c r="N113" s="1"/>
      <c r="O113" s="2"/>
      <c r="P113" s="2"/>
      <c r="Q113" s="2"/>
      <c r="R113" s="2"/>
      <c r="S113" s="2"/>
      <c r="T113" s="2"/>
      <c r="U113" s="2"/>
      <c r="V113" s="2"/>
      <c r="W113" s="2"/>
      <c r="Z113" s="1"/>
      <c r="AA113" s="2"/>
      <c r="AB113" s="2"/>
      <c r="AC113" s="2"/>
      <c r="AD113" s="2"/>
      <c r="AE113" s="2"/>
      <c r="AF113" s="2"/>
      <c r="AG113" s="2"/>
      <c r="AH113" s="2"/>
      <c r="AI113" s="2"/>
      <c r="AL113" s="1"/>
      <c r="AM113" s="2"/>
      <c r="AN113" s="2"/>
      <c r="AO113" s="2"/>
      <c r="AP113" s="2"/>
      <c r="AQ113" s="2"/>
      <c r="AR113" s="2"/>
      <c r="AS113" s="2"/>
      <c r="AT113" s="2"/>
      <c r="AU113" s="2"/>
      <c r="AX113" s="1"/>
      <c r="AY113" s="2"/>
      <c r="AZ113" s="2"/>
      <c r="BA113" s="2"/>
      <c r="BB113" s="2"/>
      <c r="BC113" s="2"/>
      <c r="BD113" s="2"/>
      <c r="BE113" s="2"/>
      <c r="BF113" s="2"/>
      <c r="BG113" s="2"/>
    </row>
    <row r="114" spans="14:60" x14ac:dyDescent="0.3">
      <c r="N114" s="1"/>
      <c r="O114" s="3"/>
      <c r="P114" s="1"/>
      <c r="Q114" s="1"/>
      <c r="R114" s="1"/>
      <c r="S114" s="1"/>
      <c r="T114" s="1"/>
      <c r="U114" s="1"/>
      <c r="V114" s="1"/>
      <c r="W114" s="1"/>
      <c r="Z114" s="1"/>
      <c r="AA114" s="3"/>
      <c r="AB114" s="1"/>
      <c r="AC114" s="1"/>
      <c r="AD114" s="1"/>
      <c r="AE114" s="1"/>
      <c r="AF114" s="1"/>
      <c r="AG114" s="1"/>
      <c r="AH114" s="1"/>
      <c r="AI114" s="1"/>
      <c r="AL114" s="1"/>
      <c r="AM114" s="3"/>
      <c r="AN114" s="1"/>
      <c r="AO114" s="1"/>
      <c r="AP114" s="1"/>
      <c r="AQ114" s="1"/>
      <c r="AR114" s="1"/>
      <c r="AS114" s="1"/>
      <c r="AT114" s="1"/>
      <c r="AU114" s="1"/>
      <c r="AX114" s="1"/>
      <c r="AY114" s="3"/>
      <c r="AZ114" s="1"/>
      <c r="BA114" s="1"/>
      <c r="BB114" s="1"/>
      <c r="BC114" s="1"/>
      <c r="BD114" s="1"/>
      <c r="BE114" s="1"/>
      <c r="BF114" s="1"/>
      <c r="BG114" s="1"/>
    </row>
    <row r="116" spans="14:60" x14ac:dyDescent="0.3">
      <c r="N116" s="1"/>
      <c r="Z116" s="1"/>
      <c r="AL116" s="1"/>
      <c r="AX116" s="1"/>
    </row>
    <row r="117" spans="14:60" x14ac:dyDescent="0.3">
      <c r="N117" s="1"/>
      <c r="O117" s="1"/>
      <c r="P117" s="1"/>
      <c r="Q117" s="1"/>
      <c r="R117" s="1"/>
      <c r="S117" s="1"/>
      <c r="T117" s="1"/>
      <c r="U117" s="1"/>
      <c r="V117" s="1"/>
      <c r="W117" s="1"/>
      <c r="X117" s="1"/>
      <c r="Z117" s="1"/>
      <c r="AA117" s="1"/>
      <c r="AB117" s="1"/>
      <c r="AC117" s="1"/>
      <c r="AD117" s="1"/>
      <c r="AE117" s="1"/>
      <c r="AF117" s="1"/>
      <c r="AG117" s="1"/>
      <c r="AH117" s="1"/>
      <c r="AI117" s="1"/>
      <c r="AJ117" s="1"/>
      <c r="AL117" s="1"/>
      <c r="AM117" s="1"/>
      <c r="AN117" s="1"/>
      <c r="AO117" s="1"/>
      <c r="AP117" s="1"/>
      <c r="AQ117" s="1"/>
      <c r="AR117" s="1"/>
      <c r="AS117" s="1"/>
      <c r="AT117" s="1"/>
      <c r="AU117" s="1"/>
      <c r="AV117" s="1"/>
      <c r="AX117" s="1"/>
      <c r="AY117" s="1"/>
      <c r="AZ117" s="1"/>
      <c r="BA117" s="1"/>
      <c r="BB117" s="1"/>
      <c r="BC117" s="1"/>
      <c r="BD117" s="1"/>
      <c r="BE117" s="1"/>
      <c r="BF117" s="1"/>
      <c r="BG117" s="1"/>
      <c r="BH117" s="1"/>
    </row>
    <row r="118" spans="14:60" x14ac:dyDescent="0.3">
      <c r="N118" s="1"/>
      <c r="O118" s="1"/>
      <c r="P118" s="1"/>
      <c r="Q118" s="1"/>
      <c r="R118" s="1"/>
      <c r="S118" s="1"/>
      <c r="T118" s="1"/>
      <c r="U118" s="1"/>
      <c r="V118" s="1"/>
      <c r="W118" s="1"/>
      <c r="X118" s="1"/>
      <c r="Z118" s="1"/>
      <c r="AA118" s="1"/>
      <c r="AB118" s="1"/>
      <c r="AC118" s="1"/>
      <c r="AD118" s="1"/>
      <c r="AE118" s="1"/>
      <c r="AF118" s="1"/>
      <c r="AG118" s="1"/>
      <c r="AH118" s="1"/>
      <c r="AI118" s="1"/>
      <c r="AJ118" s="1"/>
      <c r="AL118" s="1"/>
      <c r="AM118" s="1"/>
      <c r="AN118" s="1"/>
      <c r="AO118" s="1"/>
      <c r="AP118" s="1"/>
      <c r="AQ118" s="1"/>
      <c r="AR118" s="1"/>
      <c r="AS118" s="1"/>
      <c r="AT118" s="1"/>
      <c r="AU118" s="1"/>
      <c r="AV118" s="1"/>
      <c r="AX118" s="1"/>
      <c r="AY118" s="1"/>
      <c r="AZ118" s="1"/>
      <c r="BA118" s="1"/>
      <c r="BB118" s="1"/>
      <c r="BC118" s="1"/>
      <c r="BD118" s="1"/>
      <c r="BE118" s="1"/>
      <c r="BF118" s="1"/>
      <c r="BG118" s="1"/>
      <c r="BH118" s="1"/>
    </row>
    <row r="119" spans="14:60" x14ac:dyDescent="0.3">
      <c r="N119" s="1"/>
      <c r="O119" s="2"/>
      <c r="P119" s="2"/>
      <c r="Q119" s="2"/>
      <c r="R119" s="2"/>
      <c r="S119" s="2"/>
      <c r="T119" s="2"/>
      <c r="U119" s="2"/>
      <c r="V119" s="2"/>
      <c r="W119" s="2"/>
      <c r="Z119" s="1"/>
      <c r="AA119" s="2"/>
      <c r="AB119" s="2"/>
      <c r="AC119" s="2"/>
      <c r="AD119" s="2"/>
      <c r="AE119" s="2"/>
      <c r="AF119" s="2"/>
      <c r="AG119" s="2"/>
      <c r="AH119" s="2"/>
      <c r="AI119" s="2"/>
      <c r="AL119" s="1"/>
      <c r="AM119" s="2"/>
      <c r="AN119" s="2"/>
      <c r="AO119" s="2"/>
      <c r="AP119" s="2"/>
      <c r="AQ119" s="2"/>
      <c r="AR119" s="2"/>
      <c r="AS119" s="2"/>
      <c r="AT119" s="2"/>
      <c r="AU119" s="2"/>
      <c r="AX119" s="1"/>
      <c r="AY119" s="2"/>
      <c r="AZ119" s="2"/>
      <c r="BA119" s="2"/>
      <c r="BB119" s="2"/>
      <c r="BC119" s="2"/>
      <c r="BD119" s="2"/>
      <c r="BE119" s="2"/>
      <c r="BF119" s="2"/>
      <c r="BG119" s="2"/>
    </row>
    <row r="120" spans="14:60" x14ac:dyDescent="0.3">
      <c r="N120" s="1"/>
      <c r="O120" s="2"/>
      <c r="P120" s="2"/>
      <c r="Q120" s="2"/>
      <c r="R120" s="2"/>
      <c r="S120" s="2"/>
      <c r="T120" s="2"/>
      <c r="U120" s="2"/>
      <c r="V120" s="2"/>
      <c r="W120" s="2"/>
      <c r="Z120" s="1"/>
      <c r="AA120" s="2"/>
      <c r="AB120" s="2"/>
      <c r="AC120" s="2"/>
      <c r="AD120" s="2"/>
      <c r="AE120" s="2"/>
      <c r="AF120" s="2"/>
      <c r="AG120" s="2"/>
      <c r="AH120" s="2"/>
      <c r="AI120" s="2"/>
      <c r="AL120" s="1"/>
      <c r="AM120" s="2"/>
      <c r="AN120" s="2"/>
      <c r="AO120" s="2"/>
      <c r="AP120" s="2"/>
      <c r="AQ120" s="2"/>
      <c r="AR120" s="2"/>
      <c r="AS120" s="2"/>
      <c r="AT120" s="2"/>
      <c r="AU120" s="2"/>
      <c r="AX120" s="1"/>
      <c r="AY120" s="2"/>
      <c r="AZ120" s="2"/>
      <c r="BA120" s="2"/>
      <c r="BB120" s="2"/>
      <c r="BC120" s="2"/>
      <c r="BD120" s="2"/>
      <c r="BE120" s="2"/>
      <c r="BF120" s="2"/>
      <c r="BG120" s="2"/>
    </row>
    <row r="121" spans="14:60" x14ac:dyDescent="0.3">
      <c r="N121" s="1"/>
      <c r="O121" s="3"/>
      <c r="P121" s="1"/>
      <c r="Q121" s="1"/>
      <c r="R121" s="1"/>
      <c r="S121" s="1"/>
      <c r="T121" s="1"/>
      <c r="U121" s="1"/>
      <c r="V121" s="1"/>
      <c r="W121" s="1"/>
      <c r="Z121" s="1"/>
      <c r="AA121" s="3"/>
      <c r="AB121" s="1"/>
      <c r="AC121" s="1"/>
      <c r="AD121" s="1"/>
      <c r="AE121" s="1"/>
      <c r="AF121" s="1"/>
      <c r="AG121" s="1"/>
      <c r="AH121" s="1"/>
      <c r="AI121" s="1"/>
      <c r="AL121" s="1"/>
      <c r="AM121" s="3"/>
      <c r="AN121" s="1"/>
      <c r="AO121" s="1"/>
      <c r="AP121" s="1"/>
      <c r="AQ121" s="1"/>
      <c r="AR121" s="1"/>
      <c r="AS121" s="1"/>
      <c r="AT121" s="1"/>
      <c r="AU121" s="1"/>
      <c r="AX121" s="1"/>
      <c r="AY121" s="3"/>
      <c r="AZ121" s="1"/>
      <c r="BA121" s="1"/>
      <c r="BB121" s="1"/>
      <c r="BC121" s="1"/>
      <c r="BD121" s="1"/>
      <c r="BE121" s="1"/>
      <c r="BF121" s="1"/>
      <c r="BG121" s="1"/>
    </row>
    <row r="138" spans="14:23" x14ac:dyDescent="0.3">
      <c r="N138" s="1"/>
      <c r="O138" s="3"/>
      <c r="P138" s="1"/>
      <c r="Q138" s="1"/>
      <c r="R138" s="1"/>
      <c r="S138" s="1"/>
      <c r="T138" s="1"/>
      <c r="U138" s="1"/>
      <c r="V138" s="1"/>
      <c r="W138" s="1"/>
    </row>
  </sheetData>
  <sheetProtection formatCells="0"/>
  <mergeCells count="2">
    <mergeCell ref="A15:F15"/>
    <mergeCell ref="A16:F16"/>
  </mergeCells>
  <conditionalFormatting sqref="P27:X27 O20">
    <cfRule type="colorScale" priority="2">
      <colorScale>
        <cfvo type="min"/>
        <cfvo type="percentile" val="50"/>
        <cfvo type="max"/>
        <color rgb="FFF8696B"/>
        <color rgb="FFFCFCFF"/>
        <color rgb="FF63BE7B"/>
      </colorScale>
    </cfRule>
  </conditionalFormatting>
  <pageMargins left="0.7" right="0.7" top="0.75" bottom="0.75" header="0.3" footer="0.3"/>
  <pageSetup scale="89" orientation="landscape" r:id="rId1"/>
  <ignoredErrors>
    <ignoredError sqref="H4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07B7F-410B-4E49-B4BC-358F35C9F58E}">
  <dimension ref="A1"/>
  <sheetViews>
    <sheetView showGridLines="0" showRowColHeaders="0" workbookViewId="0">
      <selection activeCell="K11" sqref="K11"/>
    </sheetView>
  </sheetViews>
  <sheetFormatPr defaultRowHeight="14" x14ac:dyDescent="0.3"/>
  <sheetData/>
  <sheetProtection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9645F-D4C8-447B-B906-965C4AFC687B}">
  <dimension ref="A3:Z38"/>
  <sheetViews>
    <sheetView zoomScale="70" zoomScaleNormal="70" workbookViewId="0">
      <selection activeCell="A30" sqref="A30"/>
    </sheetView>
  </sheetViews>
  <sheetFormatPr defaultRowHeight="14" x14ac:dyDescent="0.3"/>
  <cols>
    <col min="1" max="1" width="19.5" customWidth="1"/>
    <col min="2" max="2" width="8.6640625" customWidth="1"/>
  </cols>
  <sheetData>
    <row r="3" spans="1:16" ht="17.5" x14ac:dyDescent="0.45">
      <c r="A3" s="21" t="s">
        <v>44</v>
      </c>
    </row>
    <row r="6" spans="1:16" x14ac:dyDescent="0.3">
      <c r="A6" t="s">
        <v>29</v>
      </c>
      <c r="B6" t="s">
        <v>28</v>
      </c>
    </row>
    <row r="8" spans="1:16" x14ac:dyDescent="0.3">
      <c r="A8" t="s">
        <v>27</v>
      </c>
      <c r="B8">
        <v>1</v>
      </c>
      <c r="C8">
        <v>1.5</v>
      </c>
      <c r="D8">
        <v>2</v>
      </c>
      <c r="E8">
        <v>2.5</v>
      </c>
      <c r="F8">
        <v>3</v>
      </c>
      <c r="G8">
        <v>4</v>
      </c>
      <c r="H8">
        <v>6</v>
      </c>
      <c r="I8">
        <v>8</v>
      </c>
      <c r="J8">
        <v>10</v>
      </c>
      <c r="K8">
        <v>12</v>
      </c>
      <c r="L8">
        <v>14</v>
      </c>
      <c r="M8">
        <v>16</v>
      </c>
      <c r="N8">
        <v>18</v>
      </c>
      <c r="O8">
        <v>20</v>
      </c>
      <c r="P8">
        <v>24</v>
      </c>
    </row>
    <row r="9" spans="1:16" x14ac:dyDescent="0.3">
      <c r="A9" t="s">
        <v>37</v>
      </c>
      <c r="B9">
        <v>18</v>
      </c>
      <c r="C9">
        <v>37</v>
      </c>
      <c r="D9">
        <v>75</v>
      </c>
      <c r="E9">
        <v>100</v>
      </c>
      <c r="F9">
        <v>145</v>
      </c>
      <c r="G9">
        <v>235</v>
      </c>
      <c r="H9">
        <v>380</v>
      </c>
      <c r="I9">
        <v>600</v>
      </c>
      <c r="J9">
        <v>950</v>
      </c>
      <c r="K9">
        <v>1280</v>
      </c>
      <c r="L9">
        <v>1750</v>
      </c>
      <c r="M9">
        <v>2300</v>
      </c>
      <c r="N9">
        <v>3400</v>
      </c>
      <c r="O9">
        <v>4700</v>
      </c>
      <c r="P9">
        <v>6700</v>
      </c>
    </row>
    <row r="13" spans="1:16" x14ac:dyDescent="0.3">
      <c r="A13" t="s">
        <v>32</v>
      </c>
      <c r="B13" t="s">
        <v>33</v>
      </c>
    </row>
    <row r="14" spans="1:16" x14ac:dyDescent="0.3">
      <c r="A14" t="s">
        <v>27</v>
      </c>
      <c r="B14">
        <v>0.5</v>
      </c>
      <c r="C14">
        <v>0.75</v>
      </c>
      <c r="D14">
        <v>1</v>
      </c>
      <c r="E14">
        <v>1.5</v>
      </c>
      <c r="F14">
        <v>2</v>
      </c>
      <c r="G14">
        <v>3</v>
      </c>
      <c r="H14">
        <v>4</v>
      </c>
      <c r="I14">
        <v>6</v>
      </c>
    </row>
    <row r="15" spans="1:16" x14ac:dyDescent="0.3">
      <c r="A15" t="s">
        <v>37</v>
      </c>
      <c r="B15">
        <v>7</v>
      </c>
      <c r="C15">
        <v>9</v>
      </c>
      <c r="D15">
        <v>13.5</v>
      </c>
      <c r="E15">
        <v>28</v>
      </c>
      <c r="F15">
        <v>49</v>
      </c>
      <c r="G15">
        <v>100</v>
      </c>
      <c r="H15">
        <v>190</v>
      </c>
      <c r="I15">
        <v>295</v>
      </c>
    </row>
    <row r="18" spans="1:26" x14ac:dyDescent="0.3">
      <c r="A18" t="s">
        <v>35</v>
      </c>
      <c r="B18" t="s">
        <v>36</v>
      </c>
    </row>
    <row r="19" spans="1:26" x14ac:dyDescent="0.3">
      <c r="A19" t="s">
        <v>27</v>
      </c>
      <c r="B19">
        <v>1</v>
      </c>
      <c r="C19">
        <v>1.5</v>
      </c>
      <c r="D19">
        <v>2</v>
      </c>
      <c r="E19">
        <v>3</v>
      </c>
      <c r="F19">
        <v>4</v>
      </c>
      <c r="G19">
        <v>6</v>
      </c>
      <c r="H19">
        <v>8</v>
      </c>
      <c r="I19">
        <v>10</v>
      </c>
    </row>
    <row r="20" spans="1:26" x14ac:dyDescent="0.3">
      <c r="A20" t="s">
        <v>37</v>
      </c>
      <c r="B20">
        <v>15</v>
      </c>
      <c r="C20" s="50">
        <v>31</v>
      </c>
      <c r="D20" s="50">
        <v>52</v>
      </c>
      <c r="E20" s="50">
        <v>140</v>
      </c>
      <c r="F20" s="50">
        <v>240</v>
      </c>
      <c r="G20" s="50">
        <v>520</v>
      </c>
      <c r="H20" s="50">
        <v>870</v>
      </c>
      <c r="I20" s="50">
        <v>1330</v>
      </c>
    </row>
    <row r="24" spans="1:26" x14ac:dyDescent="0.3">
      <c r="A24" t="s">
        <v>38</v>
      </c>
      <c r="B24" t="s">
        <v>39</v>
      </c>
    </row>
    <row r="25" spans="1:26" x14ac:dyDescent="0.3">
      <c r="A25" t="s">
        <v>27</v>
      </c>
      <c r="B25">
        <v>1</v>
      </c>
      <c r="C25">
        <v>1.5</v>
      </c>
      <c r="D25">
        <v>2</v>
      </c>
      <c r="E25">
        <v>2.5</v>
      </c>
      <c r="F25">
        <v>3</v>
      </c>
      <c r="G25">
        <v>4</v>
      </c>
      <c r="H25">
        <v>6</v>
      </c>
      <c r="I25">
        <v>8</v>
      </c>
      <c r="J25">
        <v>10</v>
      </c>
      <c r="K25">
        <v>12</v>
      </c>
      <c r="L25">
        <v>14</v>
      </c>
      <c r="M25">
        <v>16</v>
      </c>
      <c r="N25">
        <v>20</v>
      </c>
      <c r="O25">
        <v>24</v>
      </c>
      <c r="P25">
        <v>28</v>
      </c>
      <c r="Q25">
        <v>32</v>
      </c>
    </row>
    <row r="26" spans="1:26" x14ac:dyDescent="0.3">
      <c r="A26" t="s">
        <v>37</v>
      </c>
      <c r="B26">
        <v>45</v>
      </c>
      <c r="C26">
        <v>110</v>
      </c>
      <c r="D26">
        <v>180</v>
      </c>
      <c r="E26">
        <v>280</v>
      </c>
      <c r="F26">
        <v>420</v>
      </c>
      <c r="G26">
        <v>620</v>
      </c>
      <c r="H26">
        <v>1260</v>
      </c>
      <c r="I26">
        <v>2030</v>
      </c>
      <c r="J26">
        <v>3210</v>
      </c>
      <c r="K26">
        <v>4490</v>
      </c>
      <c r="L26">
        <v>6440</v>
      </c>
      <c r="M26">
        <v>8510</v>
      </c>
      <c r="N26">
        <v>1320</v>
      </c>
      <c r="O26">
        <v>19700</v>
      </c>
      <c r="P26">
        <v>25300</v>
      </c>
      <c r="Q26">
        <v>32000</v>
      </c>
    </row>
    <row r="29" spans="1:26" x14ac:dyDescent="0.3">
      <c r="B29" t="s">
        <v>40</v>
      </c>
    </row>
    <row r="30" spans="1:26" x14ac:dyDescent="0.3">
      <c r="A30" t="s">
        <v>52</v>
      </c>
    </row>
    <row r="31" spans="1:26" x14ac:dyDescent="0.3">
      <c r="A31" t="s">
        <v>27</v>
      </c>
      <c r="B31" s="57">
        <v>2.5</v>
      </c>
      <c r="C31" s="58">
        <v>3</v>
      </c>
      <c r="D31" s="58">
        <v>4</v>
      </c>
      <c r="E31" s="58">
        <v>5</v>
      </c>
      <c r="F31" s="58">
        <v>6</v>
      </c>
      <c r="G31" s="58">
        <v>8</v>
      </c>
      <c r="H31" s="58">
        <v>10</v>
      </c>
      <c r="I31" s="58">
        <v>12</v>
      </c>
      <c r="J31" s="58">
        <v>14</v>
      </c>
      <c r="K31" s="58">
        <v>16</v>
      </c>
      <c r="L31" s="58">
        <v>18</v>
      </c>
      <c r="M31" s="58">
        <v>20</v>
      </c>
      <c r="N31" s="58">
        <v>24</v>
      </c>
      <c r="O31" s="58">
        <v>28</v>
      </c>
      <c r="P31" s="58">
        <v>30</v>
      </c>
      <c r="Q31" s="58">
        <v>32</v>
      </c>
      <c r="R31" s="58">
        <v>36</v>
      </c>
      <c r="S31" s="58">
        <v>40</v>
      </c>
      <c r="T31" s="58">
        <v>42</v>
      </c>
      <c r="U31" s="58">
        <v>48</v>
      </c>
      <c r="V31" s="58">
        <v>54</v>
      </c>
      <c r="W31" s="58">
        <v>56</v>
      </c>
      <c r="X31" s="58">
        <v>60</v>
      </c>
      <c r="Y31" s="46"/>
      <c r="Z31" s="46"/>
    </row>
    <row r="32" spans="1:26" x14ac:dyDescent="0.3">
      <c r="A32" t="s">
        <v>37</v>
      </c>
      <c r="B32" s="59">
        <v>78</v>
      </c>
      <c r="C32" s="56">
        <v>165</v>
      </c>
      <c r="D32" s="56">
        <v>400</v>
      </c>
      <c r="E32" s="56">
        <v>650</v>
      </c>
      <c r="F32" s="56">
        <v>1050</v>
      </c>
      <c r="G32" s="56">
        <v>2200</v>
      </c>
      <c r="H32" s="56">
        <v>3300</v>
      </c>
      <c r="I32" s="56">
        <v>5100</v>
      </c>
      <c r="J32" s="56">
        <v>5800</v>
      </c>
      <c r="K32" s="56">
        <v>8000</v>
      </c>
      <c r="L32" s="56">
        <v>10500</v>
      </c>
      <c r="M32" s="56">
        <v>14000</v>
      </c>
      <c r="N32" s="56">
        <v>21600</v>
      </c>
      <c r="O32" s="56">
        <v>30000</v>
      </c>
      <c r="P32" s="56">
        <v>34000</v>
      </c>
      <c r="Q32" s="56">
        <v>41000</v>
      </c>
      <c r="R32" s="56">
        <v>55500</v>
      </c>
      <c r="S32" s="56">
        <v>75000</v>
      </c>
      <c r="T32" s="56">
        <v>82650</v>
      </c>
      <c r="U32" s="56">
        <v>108300</v>
      </c>
      <c r="V32" s="56">
        <v>133500</v>
      </c>
      <c r="W32" s="56">
        <v>144000</v>
      </c>
      <c r="X32" s="56">
        <v>159000</v>
      </c>
    </row>
    <row r="36" spans="1:16" x14ac:dyDescent="0.3">
      <c r="A36" t="s">
        <v>42</v>
      </c>
      <c r="B36" s="60" t="s">
        <v>43</v>
      </c>
    </row>
    <row r="37" spans="1:16" x14ac:dyDescent="0.3">
      <c r="A37" t="s">
        <v>27</v>
      </c>
      <c r="B37">
        <v>0.5</v>
      </c>
      <c r="C37">
        <v>0.75</v>
      </c>
      <c r="D37">
        <v>1</v>
      </c>
      <c r="E37">
        <v>1.5</v>
      </c>
      <c r="F37">
        <v>2</v>
      </c>
      <c r="G37">
        <v>3</v>
      </c>
      <c r="H37">
        <v>4</v>
      </c>
      <c r="I37">
        <v>6</v>
      </c>
      <c r="J37">
        <v>8</v>
      </c>
      <c r="K37">
        <v>10</v>
      </c>
      <c r="L37">
        <v>12</v>
      </c>
      <c r="M37">
        <v>14</v>
      </c>
      <c r="N37">
        <v>16</v>
      </c>
      <c r="O37">
        <v>18</v>
      </c>
      <c r="P37">
        <v>20</v>
      </c>
    </row>
    <row r="38" spans="1:16" x14ac:dyDescent="0.3">
      <c r="A38" t="s">
        <v>37</v>
      </c>
      <c r="B38">
        <v>9</v>
      </c>
      <c r="C38">
        <v>19</v>
      </c>
      <c r="D38">
        <v>45</v>
      </c>
      <c r="E38">
        <v>125</v>
      </c>
      <c r="F38">
        <v>165</v>
      </c>
      <c r="G38">
        <v>350</v>
      </c>
      <c r="H38">
        <v>550</v>
      </c>
      <c r="I38">
        <v>765</v>
      </c>
      <c r="J38">
        <v>1890</v>
      </c>
      <c r="K38">
        <v>3900</v>
      </c>
      <c r="L38">
        <v>6700</v>
      </c>
      <c r="M38">
        <v>5100</v>
      </c>
      <c r="N38">
        <v>8100</v>
      </c>
      <c r="O38">
        <v>11000</v>
      </c>
      <c r="P38">
        <v>16000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27</vt:i4>
      </vt:variant>
    </vt:vector>
  </HeadingPairs>
  <TitlesOfParts>
    <vt:vector size="30" baseType="lpstr">
      <vt:lpstr>User Interface</vt:lpstr>
      <vt:lpstr>Read Me</vt:lpstr>
      <vt:lpstr>Tables</vt:lpstr>
      <vt:lpstr>C_d</vt:lpstr>
      <vt:lpstr>Fd_BF</vt:lpstr>
      <vt:lpstr>Fd_FB</vt:lpstr>
      <vt:lpstr>Fd_GCE</vt:lpstr>
      <vt:lpstr>Fd_GCL</vt:lpstr>
      <vt:lpstr>Fd_GPL</vt:lpstr>
      <vt:lpstr>Fd_RP</vt:lpstr>
      <vt:lpstr>Fd_SEG</vt:lpstr>
      <vt:lpstr>Flag1</vt:lpstr>
      <vt:lpstr>Flag2</vt:lpstr>
      <vt:lpstr>Flow_capaticy</vt:lpstr>
      <vt:lpstr>'User Interface'!Print_Area</vt:lpstr>
      <vt:lpstr>TABLE_BFEC</vt:lpstr>
      <vt:lpstr>TABLE_FB</vt:lpstr>
      <vt:lpstr>TABLE_GC</vt:lpstr>
      <vt:lpstr>TABLE_GP</vt:lpstr>
      <vt:lpstr>TABLE_RP</vt:lpstr>
      <vt:lpstr>TABLE_SEG</vt:lpstr>
      <vt:lpstr>Valve_cap._In_Cv</vt:lpstr>
      <vt:lpstr>Valve_size_in_Inch</vt:lpstr>
      <vt:lpstr>xFZ_BF</vt:lpstr>
      <vt:lpstr>xFZ_Cv_d2</vt:lpstr>
      <vt:lpstr>xFZ_FB</vt:lpstr>
      <vt:lpstr>xFZ_GC</vt:lpstr>
      <vt:lpstr>xFZ_GP</vt:lpstr>
      <vt:lpstr>xFZ_RE</vt:lpstr>
      <vt:lpstr>xFZ_SB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dc:creator>
  <cp:lastModifiedBy>Jon</cp:lastModifiedBy>
  <cp:lastPrinted>2018-02-13T17:00:24Z</cp:lastPrinted>
  <dcterms:created xsi:type="dcterms:W3CDTF">2017-11-13T22:44:44Z</dcterms:created>
  <dcterms:modified xsi:type="dcterms:W3CDTF">2018-10-10T00:05:57Z</dcterms:modified>
</cp:coreProperties>
</file>